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Анатолий Ильюша\Desktop\"/>
    </mc:Choice>
  </mc:AlternateContent>
  <xr:revisionPtr revIDLastSave="0" documentId="13_ncr:1_{4ECF80EB-454B-44F0-A23F-0D8D8C9166D6}" xr6:coauthVersionLast="36" xr6:coauthVersionMax="36" xr10:uidLastSave="{00000000-0000-0000-0000-000000000000}"/>
  <bookViews>
    <workbookView xWindow="0" yWindow="0" windowWidth="19200" windowHeight="11370" activeTab="2" xr2:uid="{00000000-000D-0000-FFFF-FFFF00000000}"/>
  </bookViews>
  <sheets>
    <sheet name="Хар-ки Гуковский ОП ГЭМК" sheetId="2" r:id="rId1"/>
    <sheet name="Параметры ОП ГЭМК" sheetId="1" r:id="rId2"/>
    <sheet name="Финмодель ОП ГЭМК" sheetId="3" r:id="rId3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4" i="3" l="1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3" i="3"/>
  <c r="H28" i="3" l="1"/>
  <c r="I21" i="3" l="1"/>
  <c r="I22" i="3"/>
  <c r="I23" i="3"/>
  <c r="I24" i="3"/>
  <c r="I25" i="3"/>
  <c r="I26" i="3"/>
  <c r="I27" i="3"/>
  <c r="D2" i="1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l="1"/>
  <c r="J21" i="3"/>
  <c r="L21" i="3" s="1"/>
  <c r="P3" i="3"/>
  <c r="G23" i="3" l="1"/>
  <c r="J22" i="3"/>
  <c r="L22" i="3" s="1"/>
  <c r="B3" i="3"/>
  <c r="D3" i="3" s="1"/>
  <c r="D28" i="3" s="1"/>
  <c r="I11" i="3"/>
  <c r="G24" i="3" l="1"/>
  <c r="J23" i="3"/>
  <c r="L23" i="3" s="1"/>
  <c r="E3" i="3"/>
  <c r="I12" i="3"/>
  <c r="I13" i="3"/>
  <c r="I14" i="3"/>
  <c r="I15" i="3"/>
  <c r="I16" i="3"/>
  <c r="I17" i="3"/>
  <c r="I18" i="3"/>
  <c r="I19" i="3"/>
  <c r="I20" i="3"/>
  <c r="F28" i="3"/>
  <c r="B6" i="3"/>
  <c r="I10" i="3" s="1"/>
  <c r="B5" i="3"/>
  <c r="I9" i="3" s="1"/>
  <c r="B4" i="3"/>
  <c r="I8" i="3" s="1"/>
  <c r="A3" i="3"/>
  <c r="G25" i="3" l="1"/>
  <c r="J24" i="3"/>
  <c r="L24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E6" i="3"/>
  <c r="E5" i="3"/>
  <c r="E4" i="3"/>
  <c r="I6" i="3"/>
  <c r="I7" i="3"/>
  <c r="I3" i="3"/>
  <c r="J3" i="3" s="1"/>
  <c r="I4" i="3"/>
  <c r="I5" i="3"/>
  <c r="B28" i="3"/>
  <c r="A21" i="3" l="1"/>
  <c r="G26" i="3"/>
  <c r="J25" i="3"/>
  <c r="L25" i="3" s="1"/>
  <c r="I28" i="3"/>
  <c r="P6" i="3"/>
  <c r="P4" i="3"/>
  <c r="P5" i="3"/>
  <c r="P8" i="3"/>
  <c r="P7" i="3"/>
  <c r="P18" i="3"/>
  <c r="P11" i="3"/>
  <c r="P16" i="3"/>
  <c r="P12" i="3"/>
  <c r="P15" i="3"/>
  <c r="P13" i="3"/>
  <c r="P9" i="3"/>
  <c r="P19" i="3"/>
  <c r="P20" i="3"/>
  <c r="P17" i="3"/>
  <c r="P10" i="3"/>
  <c r="P14" i="3"/>
  <c r="J11" i="3"/>
  <c r="L11" i="3" s="1"/>
  <c r="J15" i="3"/>
  <c r="L15" i="3" s="1"/>
  <c r="J19" i="3"/>
  <c r="L19" i="3" s="1"/>
  <c r="J9" i="3"/>
  <c r="L9" i="3" s="1"/>
  <c r="J17" i="3"/>
  <c r="L17" i="3" s="1"/>
  <c r="J8" i="3"/>
  <c r="L8" i="3" s="1"/>
  <c r="J7" i="3"/>
  <c r="L7" i="3" s="1"/>
  <c r="J12" i="3"/>
  <c r="L12" i="3" s="1"/>
  <c r="J16" i="3"/>
  <c r="L16" i="3" s="1"/>
  <c r="J20" i="3"/>
  <c r="L20" i="3" s="1"/>
  <c r="J13" i="3"/>
  <c r="L13" i="3" s="1"/>
  <c r="J18" i="3"/>
  <c r="L18" i="3" s="1"/>
  <c r="J10" i="3"/>
  <c r="L10" i="3" s="1"/>
  <c r="J14" i="3"/>
  <c r="L14" i="3" s="1"/>
  <c r="L3" i="3"/>
  <c r="Q3" i="3" s="1"/>
  <c r="E28" i="3"/>
  <c r="J5" i="3"/>
  <c r="L5" i="3" s="1"/>
  <c r="J4" i="3"/>
  <c r="L4" i="3" s="1"/>
  <c r="Q4" i="3" l="1"/>
  <c r="Q18" i="3"/>
  <c r="Q19" i="3"/>
  <c r="Q17" i="3"/>
  <c r="Q10" i="3"/>
  <c r="Q16" i="3"/>
  <c r="A22" i="3"/>
  <c r="P21" i="3"/>
  <c r="Q21" i="3" s="1"/>
  <c r="Q14" i="3"/>
  <c r="Q8" i="3"/>
  <c r="G27" i="3"/>
  <c r="J27" i="3" s="1"/>
  <c r="L27" i="3" s="1"/>
  <c r="J26" i="3"/>
  <c r="L26" i="3" s="1"/>
  <c r="Q13" i="3"/>
  <c r="Q20" i="3"/>
  <c r="Q15" i="3"/>
  <c r="Q9" i="3"/>
  <c r="R3" i="3"/>
  <c r="R4" i="3" s="1"/>
  <c r="Q7" i="3"/>
  <c r="Q12" i="3"/>
  <c r="Q5" i="3"/>
  <c r="Q11" i="3"/>
  <c r="A23" i="3" l="1"/>
  <c r="P22" i="3"/>
  <c r="Q22" i="3" s="1"/>
  <c r="R5" i="3"/>
  <c r="G28" i="3"/>
  <c r="J6" i="3"/>
  <c r="J28" i="3" s="1"/>
  <c r="A24" i="3" l="1"/>
  <c r="P23" i="3"/>
  <c r="Q23" i="3" s="1"/>
  <c r="L6" i="3"/>
  <c r="A25" i="3" l="1"/>
  <c r="P24" i="3"/>
  <c r="Q24" i="3" s="1"/>
  <c r="Q6" i="3"/>
  <c r="R6" i="3" s="1"/>
  <c r="L31" i="3"/>
  <c r="L28" i="3"/>
  <c r="K31" i="3" s="1"/>
  <c r="A26" i="3" l="1"/>
  <c r="P25" i="3"/>
  <c r="Q25" i="3" s="1"/>
  <c r="R7" i="3"/>
  <c r="R8" i="3" s="1"/>
  <c r="R9" i="3" s="1"/>
  <c r="R10" i="3" s="1"/>
  <c r="R11" i="3" s="1"/>
  <c r="R12" i="3" s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R23" i="3" s="1"/>
  <c r="R24" i="3" s="1"/>
  <c r="R25" i="3" s="1"/>
  <c r="A27" i="3" l="1"/>
  <c r="P26" i="3"/>
  <c r="Q26" i="3" s="1"/>
  <c r="R26" i="3" s="1"/>
  <c r="A28" i="3" l="1"/>
  <c r="P27" i="3"/>
  <c r="Q27" i="3" s="1"/>
  <c r="R27" i="3" s="1"/>
  <c r="R28" i="3" s="1"/>
  <c r="R31" i="3" s="1"/>
</calcChain>
</file>

<file path=xl/sharedStrings.xml><?xml version="1.0" encoding="utf-8"?>
<sst xmlns="http://schemas.openxmlformats.org/spreadsheetml/2006/main" count="49" uniqueCount="48">
  <si>
    <t>Годовая выручка, руб./год</t>
  </si>
  <si>
    <t>Год</t>
  </si>
  <si>
    <t>t</t>
  </si>
  <si>
    <t>Займ (кредит), руб.</t>
  </si>
  <si>
    <t>З, руб.</t>
  </si>
  <si>
    <t>Доля займа, %</t>
  </si>
  <si>
    <t>З, %</t>
  </si>
  <si>
    <t>Акционерный, руб.</t>
  </si>
  <si>
    <t>А,руб.</t>
  </si>
  <si>
    <t>K(t), руб.</t>
  </si>
  <si>
    <t>Выручка, руб.</t>
  </si>
  <si>
    <t>R(t), руб.</t>
  </si>
  <si>
    <t>Эксплуатац. расходы</t>
  </si>
  <si>
    <t>Э(.), руб.в год</t>
  </si>
  <si>
    <t>Платежи по кредиту, руб.</t>
  </si>
  <si>
    <t>З+%, руб.</t>
  </si>
  <si>
    <t xml:space="preserve">  Операц. прибыль (EBIT), руб.</t>
  </si>
  <si>
    <t>ОП, руб.</t>
  </si>
  <si>
    <t>ВНД=</t>
  </si>
  <si>
    <t>Налоговые изьятия</t>
  </si>
  <si>
    <t>%</t>
  </si>
  <si>
    <t>Налоговые поступления</t>
  </si>
  <si>
    <t xml:space="preserve">  Чистая прибыль </t>
  </si>
  <si>
    <t>R(t)-K(t)-Э(t), руб.</t>
  </si>
  <si>
    <t>Расч.ставка Е</t>
  </si>
  <si>
    <t>Субсид.проц.ст.</t>
  </si>
  <si>
    <t>Велич.субсид.</t>
  </si>
  <si>
    <t>Коэф. дисконтир.</t>
  </si>
  <si>
    <t>1/((1+E)**(A2-1))</t>
  </si>
  <si>
    <t>ЧДД (t) по годам</t>
  </si>
  <si>
    <t>ЧДД (t), руб.</t>
  </si>
  <si>
    <t>ЧДД нараст итогом</t>
  </si>
  <si>
    <t>Сумма  ЧДД(t), руб.</t>
  </si>
  <si>
    <t>ЧДД=</t>
  </si>
  <si>
    <t>Мин.проц. ставка</t>
  </si>
  <si>
    <t>Ставка диск.</t>
  </si>
  <si>
    <t>Госбюджет, руб.</t>
  </si>
  <si>
    <t>ООО  "Техноподземэнерго"-2018</t>
  </si>
  <si>
    <t>Продукция ОП ГЭМК</t>
  </si>
  <si>
    <t>Производственная мощность ОП ГЭМК</t>
  </si>
  <si>
    <t>Металлизованное сырье (ГБЖ/ПВЖ), т/сутки</t>
  </si>
  <si>
    <t xml:space="preserve">Тариф на продажу, руб./т </t>
  </si>
  <si>
    <t xml:space="preserve">Начало строительства - 2020 г.  Ввод в опытно-промышленную  эксплуатацию - 2022 г. </t>
  </si>
  <si>
    <r>
      <rPr>
        <b/>
        <sz val="14"/>
        <color theme="1"/>
        <rFont val="Times New Roman"/>
        <family val="1"/>
        <charset val="204"/>
      </rPr>
      <t xml:space="preserve">Основные финансово-экономические показатели проекта:     </t>
    </r>
    <r>
      <rPr>
        <b/>
        <sz val="12"/>
        <color theme="1"/>
        <rFont val="Times New Roman"/>
        <family val="1"/>
        <charset val="204"/>
      </rPr>
      <t xml:space="preserve"> 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Объем инвестиций (стоимость проекта), млн. руб.        -  4,5 млрд. руб.
Чистая приведенная стоимость (NPV), млн. руб.             -  296 млн.руб.
Внутренняя норма доходности проекта (IRR), %           - 11
Дисконтированный срок окупаемости проекта, лет      - 13
Количество создаваемых рабочих мест, чел.                   - 120  </t>
    </r>
  </si>
  <si>
    <t xml:space="preserve"> </t>
  </si>
  <si>
    <t xml:space="preserve">Цели (описание) проекта: 1.2.1  Обоснование параметров, выбор оборудования и создание опытно-промышленных участков технологии  безлюдной термогазодинамической отработки угольных пластов путем его газификации непосредственно в условиях залегания - добычи для получения горючего (восстановительного) синтез-газа ( СО + Н2) и генерирования электрической энергии.
1.2.2  Отработка технологии повышения  производительности и экономичности работы доменных  печей за счет подачи (нагнетания) восстановительного газа вместо пылеугольного и паровоздушного дутья и/или дополнительно к последним. 
1.2.3  Установление рациональных параметров, выбор электрометаллургических технологий и оборудования, создание  опытно-промышленного комплекса  «бескокосовой» выработки сырья (ГБЖ/ПВЖ) для  доменного и сталелитейного производства. 
</t>
  </si>
  <si>
    <r>
      <rPr>
        <b/>
        <sz val="14"/>
        <color theme="9" tint="-0.249977111117893"/>
        <rFont val="Times New Roman"/>
        <family val="1"/>
        <charset val="204"/>
      </rPr>
      <t>Инициаторы  проекта:</t>
    </r>
    <r>
      <rPr>
        <b/>
        <sz val="14"/>
        <color theme="1"/>
        <rFont val="Times New Roman"/>
        <family val="1"/>
        <charset val="204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   </t>
    </r>
    <r>
      <rPr>
        <b/>
        <sz val="16"/>
        <color theme="1"/>
        <rFont val="Times New Roman"/>
        <family val="1"/>
        <charset val="204"/>
      </rPr>
      <t xml:space="preserve">ООО  "Техноподземэнерго",   ФГБОУ ВО "Государственный университет управления (ГУУ)",        ООО "Южная  угольная  компания". </t>
    </r>
  </si>
  <si>
    <r>
      <rPr>
        <b/>
        <sz val="16"/>
        <color theme="3"/>
        <rFont val="Times New Roman"/>
        <family val="1"/>
        <charset val="204"/>
      </rPr>
      <t xml:space="preserve">Наименование проекта: </t>
    </r>
    <r>
      <rPr>
        <b/>
        <sz val="14"/>
        <color theme="3"/>
        <rFont val="Times New Roman"/>
        <family val="1"/>
        <charset val="204"/>
      </rPr>
      <t xml:space="preserve"> </t>
    </r>
    <r>
      <rPr>
        <b/>
        <sz val="20"/>
        <color theme="3"/>
        <rFont val="Times New Roman"/>
        <family val="1"/>
        <charset val="204"/>
      </rPr>
      <t>Гуковский  опытно-промышленный горно-электрометаллургический   комплекс</t>
    </r>
    <r>
      <rPr>
        <sz val="20"/>
        <color theme="3"/>
        <rFont val="Times New Roman"/>
        <family val="1"/>
        <charset val="204"/>
      </rPr>
      <t xml:space="preserve">  </t>
    </r>
    <r>
      <rPr>
        <b/>
        <i/>
        <sz val="20"/>
        <color theme="3"/>
        <rFont val="Times New Roman"/>
        <family val="1"/>
        <charset val="204"/>
      </rPr>
      <t>(Гуковский ОП ГЭМК)</t>
    </r>
    <r>
      <rPr>
        <sz val="20"/>
        <color theme="3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</si>
</sst>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00"/>
    <numFmt numFmtId="166" formatCode="0.0"/>
    <numFmt numFmtId="167" formatCode="0.0000"/>
  </numFmts>
  <fonts count="4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indexed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b/>
      <sz val="10"/>
      <color rgb="FF00B050"/>
      <name val="Arial Cyr"/>
      <charset val="204"/>
    </font>
    <font>
      <b/>
      <sz val="11"/>
      <color rgb="FF0070C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2"/>
      <color rgb="FF00B050"/>
      <name val="Arial Cyr"/>
      <charset val="204"/>
    </font>
    <font>
      <b/>
      <sz val="11"/>
      <color theme="9" tint="-0.249977111117893"/>
      <name val="Arial"/>
      <family val="2"/>
      <charset val="204"/>
    </font>
    <font>
      <b/>
      <sz val="10"/>
      <name val="Arial Cyr"/>
      <charset val="204"/>
    </font>
    <font>
      <b/>
      <sz val="12"/>
      <color rgb="FFFF0000"/>
      <name val="Arial Cyr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3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b/>
      <sz val="14"/>
      <color theme="9" tint="-0.24997711111789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/>
      <name val="Calibri"/>
      <family val="1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3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20"/>
      <color theme="3"/>
      <name val="Times New Roman"/>
      <family val="1"/>
      <charset val="204"/>
    </font>
    <font>
      <b/>
      <sz val="20"/>
      <color theme="3"/>
      <name val="Times New Roman"/>
      <family val="1"/>
      <charset val="204"/>
    </font>
    <font>
      <b/>
      <i/>
      <sz val="20"/>
      <color theme="3"/>
      <name val="Times New Roman"/>
      <family val="1"/>
      <charset val="204"/>
    </font>
    <font>
      <b/>
      <sz val="16"/>
      <color theme="3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4" fontId="3" fillId="4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6" borderId="0" xfId="0" applyNumberFormat="1" applyFont="1" applyFill="1" applyAlignment="1">
      <alignment horizontal="center"/>
    </xf>
    <xf numFmtId="2" fontId="5" fillId="9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7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8" borderId="0" xfId="0" applyNumberFormat="1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7" fillId="5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164" fontId="6" fillId="10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164" fontId="10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167" fontId="3" fillId="0" borderId="0" xfId="0" applyNumberFormat="1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/>
    <xf numFmtId="4" fontId="19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4" fontId="21" fillId="0" borderId="0" xfId="0" applyNumberFormat="1" applyFont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20" fillId="0" borderId="0" xfId="0" applyFont="1" applyAlignment="1">
      <alignment horizontal="center"/>
    </xf>
    <xf numFmtId="0" fontId="20" fillId="0" borderId="0" xfId="0" applyFont="1"/>
    <xf numFmtId="4" fontId="22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4" fontId="20" fillId="0" borderId="0" xfId="0" applyNumberFormat="1" applyFont="1"/>
    <xf numFmtId="0" fontId="24" fillId="0" borderId="0" xfId="0" applyFont="1"/>
    <xf numFmtId="0" fontId="24" fillId="0" borderId="0" xfId="0" applyFont="1" applyAlignment="1">
      <alignment horizontal="left" indent="1"/>
    </xf>
    <xf numFmtId="4" fontId="29" fillId="0" borderId="0" xfId="0" applyNumberFormat="1" applyFont="1" applyAlignment="1">
      <alignment horizontal="center" vertical="top" wrapText="1"/>
    </xf>
    <xf numFmtId="0" fontId="0" fillId="0" borderId="0" xfId="0" applyFont="1"/>
    <xf numFmtId="0" fontId="24" fillId="0" borderId="0" xfId="0" applyFont="1" applyAlignment="1">
      <alignment horizontal="center"/>
    </xf>
    <xf numFmtId="0" fontId="29" fillId="0" borderId="0" xfId="0" applyFont="1" applyAlignment="1">
      <alignment horizontal="left" inden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0" fillId="0" borderId="1" xfId="1" applyFont="1" applyAlignment="1">
      <alignment horizontal="center" vertical="center" wrapText="1"/>
    </xf>
    <xf numFmtId="0" fontId="25" fillId="0" borderId="1" xfId="1" applyFont="1" applyAlignment="1">
      <alignment horizontal="center" vertical="center" wrapText="1"/>
    </xf>
    <xf numFmtId="0" fontId="25" fillId="0" borderId="1" xfId="1" applyFont="1" applyAlignment="1">
      <alignment horizontal="left" vertical="top" wrapText="1" indent="1"/>
    </xf>
    <xf numFmtId="0" fontId="26" fillId="0" borderId="2" xfId="0" applyFont="1" applyBorder="1" applyAlignment="1">
      <alignment horizontal="left" vertical="center" wrapText="1" indent="1"/>
    </xf>
    <xf numFmtId="0" fontId="24" fillId="0" borderId="2" xfId="0" applyFont="1" applyBorder="1" applyAlignment="1">
      <alignment horizontal="left" vertical="center" indent="1"/>
    </xf>
    <xf numFmtId="0" fontId="31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4" fillId="0" borderId="3" xfId="1" applyFont="1" applyBorder="1" applyAlignment="1">
      <alignment horizontal="center" vertical="center" wrapText="1"/>
    </xf>
    <xf numFmtId="0" fontId="30" fillId="0" borderId="3" xfId="1" applyFont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ru-RU" sz="2000">
                <a:solidFill>
                  <a:srgbClr val="00B0F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Финансовый  профиль Гуковский</a:t>
            </a:r>
            <a:r>
              <a:rPr lang="ru-RU" sz="2000" baseline="0">
                <a:solidFill>
                  <a:srgbClr val="00B0F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ОП</a:t>
            </a:r>
            <a:r>
              <a:rPr lang="ru-RU" sz="2000">
                <a:solidFill>
                  <a:srgbClr val="00B0F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ГЭМК</a:t>
            </a:r>
          </a:p>
        </c:rich>
      </c:tx>
      <c:layout>
        <c:manualLayout>
          <c:xMode val="edge"/>
          <c:yMode val="edge"/>
          <c:x val="0.23907269842297854"/>
          <c:y val="0.112978355707801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1843909496070662"/>
          <c:y val="0.21460953762629947"/>
          <c:w val="0.84634730156461135"/>
          <c:h val="0.769492089651303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'Финмодель ОП ГЭМК'!$Q$3:$Q$27</c:f>
              <c:numCache>
                <c:formatCode>#\ ##0.0</c:formatCode>
                <c:ptCount val="25"/>
                <c:pt idx="0">
                  <c:v>-742500000</c:v>
                </c:pt>
                <c:pt idx="1">
                  <c:v>-1999999999.9999998</c:v>
                </c:pt>
                <c:pt idx="2">
                  <c:v>-989275147.92899394</c:v>
                </c:pt>
                <c:pt idx="3">
                  <c:v>-94011364.929449245</c:v>
                </c:pt>
                <c:pt idx="4">
                  <c:v>486597285.74367136</c:v>
                </c:pt>
                <c:pt idx="5">
                  <c:v>354867028.34335005</c:v>
                </c:pt>
                <c:pt idx="6">
                  <c:v>428152894.31430644</c:v>
                </c:pt>
                <c:pt idx="7">
                  <c:v>432583215.16527456</c:v>
                </c:pt>
                <c:pt idx="8">
                  <c:v>476227341.11004293</c:v>
                </c:pt>
                <c:pt idx="9">
                  <c:v>457910904.91350275</c:v>
                </c:pt>
                <c:pt idx="10">
                  <c:v>440298947.03221416</c:v>
                </c:pt>
                <c:pt idx="11">
                  <c:v>423364372.14635986</c:v>
                </c:pt>
                <c:pt idx="12">
                  <c:v>407081127.06380743</c:v>
                </c:pt>
                <c:pt idx="13">
                  <c:v>391424160.6382764</c:v>
                </c:pt>
                <c:pt idx="14">
                  <c:v>376369385.22911197</c:v>
                </c:pt>
                <c:pt idx="15">
                  <c:v>361893639.64337683</c:v>
                </c:pt>
                <c:pt idx="16">
                  <c:v>313177188.15292221</c:v>
                </c:pt>
                <c:pt idx="17">
                  <c:v>301131911.68550211</c:v>
                </c:pt>
                <c:pt idx="18">
                  <c:v>289549915.08221352</c:v>
                </c:pt>
                <c:pt idx="19">
                  <c:v>278413379.88674384</c:v>
                </c:pt>
                <c:pt idx="20">
                  <c:v>267705172.96802288</c:v>
                </c:pt>
                <c:pt idx="21">
                  <c:v>257408820.16156042</c:v>
                </c:pt>
                <c:pt idx="22">
                  <c:v>247508480.92457733</c:v>
                </c:pt>
                <c:pt idx="23">
                  <c:v>237988923.96593976</c:v>
                </c:pt>
                <c:pt idx="24">
                  <c:v>228835503.81340361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86-4177-97BF-F8782BCE9DB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'Финмодель ОП ГЭМК'!$R$3:$R$27</c:f>
              <c:numCache>
                <c:formatCode>#\ ##0.0</c:formatCode>
                <c:ptCount val="25"/>
                <c:pt idx="0">
                  <c:v>-742500000</c:v>
                </c:pt>
                <c:pt idx="1">
                  <c:v>-2742500000</c:v>
                </c:pt>
                <c:pt idx="2">
                  <c:v>-3731775147.9289942</c:v>
                </c:pt>
                <c:pt idx="3">
                  <c:v>-3825786512.8584433</c:v>
                </c:pt>
                <c:pt idx="4">
                  <c:v>-3339189227.1147718</c:v>
                </c:pt>
                <c:pt idx="5">
                  <c:v>-2984322198.7714219</c:v>
                </c:pt>
                <c:pt idx="6">
                  <c:v>-2556169304.4571157</c:v>
                </c:pt>
                <c:pt idx="7">
                  <c:v>-2123586089.291841</c:v>
                </c:pt>
                <c:pt idx="8">
                  <c:v>-1647358748.181798</c:v>
                </c:pt>
                <c:pt idx="9">
                  <c:v>-1189447843.2682953</c:v>
                </c:pt>
                <c:pt idx="10">
                  <c:v>-749148896.23608112</c:v>
                </c:pt>
                <c:pt idx="11">
                  <c:v>-325784524.08972126</c:v>
                </c:pt>
                <c:pt idx="12">
                  <c:v>81296602.974086165</c:v>
                </c:pt>
                <c:pt idx="13">
                  <c:v>472720763.61236256</c:v>
                </c:pt>
                <c:pt idx="14">
                  <c:v>849090148.84147453</c:v>
                </c:pt>
                <c:pt idx="15">
                  <c:v>1210983788.4848514</c:v>
                </c:pt>
                <c:pt idx="16">
                  <c:v>1524160976.6377735</c:v>
                </c:pt>
                <c:pt idx="17">
                  <c:v>1825292888.3232756</c:v>
                </c:pt>
                <c:pt idx="18">
                  <c:v>2114842803.405489</c:v>
                </c:pt>
                <c:pt idx="19">
                  <c:v>2393256183.292233</c:v>
                </c:pt>
                <c:pt idx="20">
                  <c:v>2660961356.2602558</c:v>
                </c:pt>
                <c:pt idx="21">
                  <c:v>2918370176.4218163</c:v>
                </c:pt>
                <c:pt idx="22">
                  <c:v>3165878657.3463936</c:v>
                </c:pt>
                <c:pt idx="23">
                  <c:v>3403867581.3123331</c:v>
                </c:pt>
                <c:pt idx="24">
                  <c:v>3632703085.1257367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86-4177-97BF-F8782BCE9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313496976"/>
        <c:axId val="313497304"/>
      </c:barChart>
      <c:catAx>
        <c:axId val="313496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200">
                    <a:solidFill>
                      <a:srgbClr val="00B0F0"/>
                    </a:solidFill>
                  </a:rPr>
                  <a:t>Годы  жизненного цикла проекта  </a:t>
                </a:r>
              </a:p>
            </c:rich>
          </c:tx>
          <c:layout>
            <c:manualLayout>
              <c:xMode val="edge"/>
              <c:yMode val="edge"/>
              <c:x val="0.40015405075158672"/>
              <c:y val="0.733567866250480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3497304"/>
        <c:crosses val="autoZero"/>
        <c:auto val="1"/>
        <c:lblAlgn val="ctr"/>
        <c:lblOffset val="100"/>
        <c:noMultiLvlLbl val="0"/>
      </c:catAx>
      <c:valAx>
        <c:axId val="313497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ЧДД, руб.</a:t>
                </a:r>
              </a:p>
            </c:rich>
          </c:tx>
          <c:layout>
            <c:manualLayout>
              <c:xMode val="edge"/>
              <c:yMode val="edge"/>
              <c:x val="4.3788089763932517E-2"/>
              <c:y val="0.532573704229606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349697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276292866163663"/>
          <c:y val="0.89332711382723606"/>
          <c:w val="0.14344626586604883"/>
          <c:h val="4.40394459159832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54430</xdr:colOff>
      <xdr:row>32</xdr:row>
      <xdr:rowOff>170197</xdr:rowOff>
    </xdr:from>
    <xdr:to>
      <xdr:col>18</xdr:col>
      <xdr:colOff>54429</xdr:colOff>
      <xdr:row>62</xdr:row>
      <xdr:rowOff>122464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A3DFD9AC-630F-4D84-8638-B9E24BEF9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zoomScaleNormal="100" workbookViewId="0">
      <selection activeCell="A3" sqref="A3:N3"/>
    </sheetView>
  </sheetViews>
  <sheetFormatPr defaultRowHeight="15" x14ac:dyDescent="0.25"/>
  <cols>
    <col min="1" max="1" width="9.140625" style="54" customWidth="1"/>
    <col min="2" max="12" width="9.140625" style="54"/>
    <col min="13" max="13" width="10.42578125" style="54" customWidth="1"/>
    <col min="14" max="14" width="52.5703125" style="54" customWidth="1"/>
    <col min="15" max="16384" width="9.140625" style="54"/>
  </cols>
  <sheetData>
    <row r="1" spans="1:15" ht="50.25" customHeight="1" x14ac:dyDescent="0.25">
      <c r="A1" s="61" t="s">
        <v>37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5" ht="81.75" customHeight="1" thickBot="1" x14ac:dyDescent="0.3">
      <c r="A2" s="63" t="s">
        <v>46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58"/>
    </row>
    <row r="3" spans="1:15" ht="81.75" customHeight="1" thickTop="1" thickBot="1" x14ac:dyDescent="0.3">
      <c r="A3" s="70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5" ht="157.5" customHeight="1" thickTop="1" thickBot="1" x14ac:dyDescent="0.3">
      <c r="A4" s="65" t="s">
        <v>45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5" ht="93" customHeight="1" thickTop="1" x14ac:dyDescent="0.25">
      <c r="A5" s="66" t="s">
        <v>43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5" ht="30.75" customHeight="1" x14ac:dyDescent="0.25">
      <c r="A6" s="68" t="s">
        <v>42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55"/>
    </row>
    <row r="7" spans="1:15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11" spans="1:15" x14ac:dyDescent="0.25">
      <c r="H11" s="57" t="s">
        <v>44</v>
      </c>
    </row>
  </sheetData>
  <mergeCells count="7">
    <mergeCell ref="A7:N7"/>
    <mergeCell ref="A1:N1"/>
    <mergeCell ref="A2:N2"/>
    <mergeCell ref="A4:N4"/>
    <mergeCell ref="A5:N5"/>
    <mergeCell ref="A6:N6"/>
    <mergeCell ref="A3:N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zoomScaleNormal="100" workbookViewId="0">
      <selection activeCell="A31" sqref="A31"/>
    </sheetView>
  </sheetViews>
  <sheetFormatPr defaultRowHeight="15" x14ac:dyDescent="0.25"/>
  <cols>
    <col min="1" max="1" width="64.5703125" style="49" customWidth="1"/>
    <col min="2" max="2" width="42.7109375" style="48" customWidth="1"/>
    <col min="3" max="3" width="31.85546875" style="48" customWidth="1"/>
    <col min="4" max="4" width="29.42578125" style="52" customWidth="1"/>
    <col min="5" max="5" width="29.5703125" style="48" customWidth="1"/>
    <col min="6" max="6" width="36.5703125" style="49" customWidth="1"/>
    <col min="7" max="16384" width="9.140625" style="49"/>
  </cols>
  <sheetData>
    <row r="1" spans="1:7" s="41" customFormat="1" ht="44.25" customHeight="1" x14ac:dyDescent="0.25">
      <c r="A1" s="39" t="s">
        <v>38</v>
      </c>
      <c r="B1" s="39" t="s">
        <v>39</v>
      </c>
      <c r="C1" s="39" t="s">
        <v>41</v>
      </c>
      <c r="D1" s="39" t="s">
        <v>0</v>
      </c>
      <c r="E1" s="40"/>
      <c r="F1" s="40"/>
    </row>
    <row r="2" spans="1:7" s="47" customFormat="1" ht="17.25" customHeight="1" x14ac:dyDescent="0.3">
      <c r="A2" s="59" t="s">
        <v>40</v>
      </c>
      <c r="B2" s="56">
        <v>150</v>
      </c>
      <c r="C2" s="56">
        <v>13000</v>
      </c>
      <c r="D2" s="50">
        <f>B2*C2*365</f>
        <v>711750000</v>
      </c>
      <c r="E2" s="46"/>
      <c r="F2" s="46"/>
    </row>
    <row r="3" spans="1:7" ht="18.75" x14ac:dyDescent="0.25">
      <c r="A3" s="42"/>
      <c r="C3" s="44"/>
      <c r="D3" s="45"/>
    </row>
    <row r="4" spans="1:7" ht="18.75" x14ac:dyDescent="0.25">
      <c r="C4" s="44"/>
      <c r="D4" s="50"/>
    </row>
    <row r="5" spans="1:7" ht="18.75" x14ac:dyDescent="0.25">
      <c r="B5" s="51"/>
      <c r="D5" s="50"/>
    </row>
    <row r="6" spans="1:7" x14ac:dyDescent="0.25">
      <c r="B6" s="43"/>
      <c r="C6" s="44"/>
      <c r="G6" s="53">
        <v>49348000</v>
      </c>
    </row>
    <row r="12" spans="1:7" x14ac:dyDescent="0.25">
      <c r="B12" s="43"/>
    </row>
    <row r="17" spans="3:3" x14ac:dyDescent="0.25">
      <c r="C17" s="4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65"/>
  <sheetViews>
    <sheetView tabSelected="1" topLeftCell="I1" zoomScale="60" zoomScaleNormal="60" workbookViewId="0">
      <selection activeCell="O29" sqref="O29"/>
    </sheetView>
  </sheetViews>
  <sheetFormatPr defaultRowHeight="15" x14ac:dyDescent="0.25"/>
  <cols>
    <col min="1" max="1" width="9.140625" style="9"/>
    <col min="2" max="2" width="21.7109375" style="9" customWidth="1"/>
    <col min="3" max="3" width="16.28515625" style="9" customWidth="1"/>
    <col min="4" max="5" width="21.7109375" style="9" customWidth="1"/>
    <col min="6" max="7" width="18.42578125" style="9" customWidth="1"/>
    <col min="8" max="8" width="23.5703125" style="9" customWidth="1"/>
    <col min="9" max="9" width="27" style="9" customWidth="1"/>
    <col min="10" max="10" width="32" style="5" customWidth="1"/>
    <col min="11" max="11" width="27.7109375" style="9" customWidth="1"/>
    <col min="12" max="12" width="24.140625" style="5" customWidth="1"/>
    <col min="13" max="14" width="14.5703125" style="29" customWidth="1"/>
    <col min="15" max="15" width="17.140625" style="9" customWidth="1"/>
    <col min="16" max="16" width="17" style="18" customWidth="1"/>
    <col min="17" max="17" width="20.85546875" style="5" customWidth="1"/>
    <col min="18" max="18" width="35" style="9" customWidth="1"/>
    <col min="19" max="16384" width="9.140625" style="5"/>
  </cols>
  <sheetData>
    <row r="1" spans="1:18" x14ac:dyDescent="0.25">
      <c r="A1" s="1" t="s">
        <v>1</v>
      </c>
      <c r="B1" s="1" t="s">
        <v>3</v>
      </c>
      <c r="C1" s="1" t="s">
        <v>5</v>
      </c>
      <c r="D1" s="1" t="s">
        <v>36</v>
      </c>
      <c r="E1" s="1" t="s">
        <v>7</v>
      </c>
      <c r="F1" s="1" t="s">
        <v>9</v>
      </c>
      <c r="G1" s="1" t="s">
        <v>10</v>
      </c>
      <c r="H1" s="1" t="s">
        <v>12</v>
      </c>
      <c r="I1" s="1" t="s">
        <v>14</v>
      </c>
      <c r="J1" s="2" t="s">
        <v>16</v>
      </c>
      <c r="K1" s="1" t="s">
        <v>19</v>
      </c>
      <c r="L1" s="1" t="s">
        <v>22</v>
      </c>
      <c r="M1" s="3" t="s">
        <v>35</v>
      </c>
      <c r="N1" s="3" t="s">
        <v>25</v>
      </c>
      <c r="O1" s="1" t="s">
        <v>34</v>
      </c>
      <c r="P1" s="4" t="s">
        <v>27</v>
      </c>
      <c r="Q1" s="1" t="s">
        <v>29</v>
      </c>
      <c r="R1" s="1" t="s">
        <v>31</v>
      </c>
    </row>
    <row r="2" spans="1:18" x14ac:dyDescent="0.25">
      <c r="A2" s="6" t="s">
        <v>2</v>
      </c>
      <c r="B2" s="6" t="s">
        <v>4</v>
      </c>
      <c r="C2" s="6" t="s">
        <v>6</v>
      </c>
      <c r="D2" s="6"/>
      <c r="E2" s="6" t="s">
        <v>8</v>
      </c>
      <c r="F2" s="6" t="s">
        <v>9</v>
      </c>
      <c r="G2" s="6" t="s">
        <v>11</v>
      </c>
      <c r="H2" s="6" t="s">
        <v>13</v>
      </c>
      <c r="I2" s="6" t="s">
        <v>15</v>
      </c>
      <c r="J2" s="6" t="s">
        <v>17</v>
      </c>
      <c r="K2" s="6" t="s">
        <v>20</v>
      </c>
      <c r="L2" s="6" t="s">
        <v>23</v>
      </c>
      <c r="M2" s="7"/>
      <c r="N2" s="7" t="s">
        <v>26</v>
      </c>
      <c r="O2" s="6" t="s">
        <v>24</v>
      </c>
      <c r="P2" s="8" t="s">
        <v>28</v>
      </c>
      <c r="Q2" s="6" t="s">
        <v>30</v>
      </c>
      <c r="R2" s="6" t="s">
        <v>32</v>
      </c>
    </row>
    <row r="3" spans="1:18" x14ac:dyDescent="0.25">
      <c r="A3" s="9">
        <f>SUM(1,A2)</f>
        <v>1</v>
      </c>
      <c r="B3" s="10">
        <f>F3*C3</f>
        <v>75000000</v>
      </c>
      <c r="C3" s="10">
        <v>0.1</v>
      </c>
      <c r="D3" s="10">
        <f>B3</f>
        <v>75000000</v>
      </c>
      <c r="E3" s="11">
        <f>F3-B3-D3</f>
        <v>600000000</v>
      </c>
      <c r="F3" s="12">
        <v>750000000</v>
      </c>
      <c r="G3" s="13"/>
      <c r="H3" s="14">
        <v>60000000</v>
      </c>
      <c r="I3" s="10">
        <f>B3*0.1</f>
        <v>7500000</v>
      </c>
      <c r="J3" s="12">
        <f>G3-F3-H3-I3+D3</f>
        <v>-742500000</v>
      </c>
      <c r="K3" s="15">
        <v>0</v>
      </c>
      <c r="L3" s="12">
        <f>J3-(J3*K3)</f>
        <v>-742500000</v>
      </c>
      <c r="M3" s="16">
        <v>0.12</v>
      </c>
      <c r="N3" s="17">
        <v>0</v>
      </c>
      <c r="O3" s="13">
        <f>M3-0.08</f>
        <v>3.9999999999999994E-2</v>
      </c>
      <c r="P3" s="18">
        <f>1/(POWER(1+O3,A3-1))</f>
        <v>1</v>
      </c>
      <c r="Q3" s="12">
        <f>L3*P3</f>
        <v>-742500000</v>
      </c>
      <c r="R3" s="12">
        <f>SUM(R2,Q3)</f>
        <v>-742500000</v>
      </c>
    </row>
    <row r="4" spans="1:18" x14ac:dyDescent="0.25">
      <c r="A4" s="9">
        <f t="shared" ref="A4:A28" si="0">SUM(1,A3)</f>
        <v>2</v>
      </c>
      <c r="B4" s="10">
        <f>F4*C4</f>
        <v>200000000</v>
      </c>
      <c r="C4" s="10">
        <v>0.1</v>
      </c>
      <c r="D4" s="10">
        <v>800000000</v>
      </c>
      <c r="E4" s="11">
        <f>F4-B4-D4</f>
        <v>1000000000</v>
      </c>
      <c r="F4" s="12">
        <v>2000000000</v>
      </c>
      <c r="G4" s="13"/>
      <c r="H4" s="14">
        <v>60000000</v>
      </c>
      <c r="I4" s="10">
        <f>B4*0.1</f>
        <v>20000000</v>
      </c>
      <c r="J4" s="12">
        <f t="shared" ref="J4:J27" si="1">G4-F4-H4-I4</f>
        <v>-2080000000</v>
      </c>
      <c r="K4" s="15">
        <v>0</v>
      </c>
      <c r="L4" s="12">
        <f t="shared" ref="L4:L27" si="2">J4-(J4*K4)</f>
        <v>-2080000000</v>
      </c>
      <c r="M4" s="16">
        <v>0.12</v>
      </c>
      <c r="N4" s="17">
        <v>0</v>
      </c>
      <c r="O4" s="13">
        <f t="shared" ref="O4:O27" si="3">M4-0.08</f>
        <v>3.9999999999999994E-2</v>
      </c>
      <c r="P4" s="18">
        <f t="shared" ref="P4:P27" si="4">1/(POWER(1+O4,A4-1))</f>
        <v>0.96153846153846145</v>
      </c>
      <c r="Q4" s="12">
        <f>L4*P4</f>
        <v>-1999999999.9999998</v>
      </c>
      <c r="R4" s="12">
        <f>SUM(R3,Q4)</f>
        <v>-2742500000</v>
      </c>
    </row>
    <row r="5" spans="1:18" x14ac:dyDescent="0.25">
      <c r="A5" s="9">
        <f t="shared" si="0"/>
        <v>3</v>
      </c>
      <c r="B5" s="10">
        <f>F5*C5</f>
        <v>100000000</v>
      </c>
      <c r="C5" s="10">
        <v>0.1</v>
      </c>
      <c r="D5" s="10">
        <v>600000000</v>
      </c>
      <c r="E5" s="11">
        <f>F5-B5-D5</f>
        <v>300000000</v>
      </c>
      <c r="F5" s="12">
        <v>1000000000</v>
      </c>
      <c r="G5" s="13"/>
      <c r="H5" s="14">
        <v>60000000</v>
      </c>
      <c r="I5" s="10">
        <f>B5*0.1</f>
        <v>10000000</v>
      </c>
      <c r="J5" s="12">
        <f t="shared" si="1"/>
        <v>-1070000000</v>
      </c>
      <c r="K5" s="15">
        <v>0</v>
      </c>
      <c r="L5" s="12">
        <f t="shared" si="2"/>
        <v>-1070000000</v>
      </c>
      <c r="M5" s="16">
        <v>0.12</v>
      </c>
      <c r="N5" s="17">
        <v>0</v>
      </c>
      <c r="O5" s="13">
        <f t="shared" si="3"/>
        <v>3.9999999999999994E-2</v>
      </c>
      <c r="P5" s="18">
        <f t="shared" si="4"/>
        <v>0.92455621301775137</v>
      </c>
      <c r="Q5" s="12">
        <f t="shared" ref="Q5:Q27" si="5">L5*P5</f>
        <v>-989275147.92899394</v>
      </c>
      <c r="R5" s="12">
        <f t="shared" ref="R5:R27" si="6">SUM(R4,Q5)</f>
        <v>-3731775147.9289942</v>
      </c>
    </row>
    <row r="6" spans="1:18" x14ac:dyDescent="0.25">
      <c r="A6" s="9">
        <f t="shared" si="0"/>
        <v>4</v>
      </c>
      <c r="B6" s="10">
        <f>F6*C6</f>
        <v>75000000</v>
      </c>
      <c r="C6" s="10">
        <v>0.1</v>
      </c>
      <c r="D6" s="10">
        <v>450000000</v>
      </c>
      <c r="E6" s="11">
        <f>F6-B6-D6</f>
        <v>225000000</v>
      </c>
      <c r="F6" s="12">
        <v>750000000</v>
      </c>
      <c r="G6" s="19">
        <f>'Параметры ОП ГЭМК'!D2</f>
        <v>711750000</v>
      </c>
      <c r="H6" s="14">
        <v>60000000</v>
      </c>
      <c r="I6" s="10">
        <f>B6*0.1</f>
        <v>7500000</v>
      </c>
      <c r="J6" s="12">
        <f t="shared" si="1"/>
        <v>-105750000</v>
      </c>
      <c r="K6" s="15">
        <v>0</v>
      </c>
      <c r="L6" s="12">
        <f t="shared" si="2"/>
        <v>-105750000</v>
      </c>
      <c r="M6" s="16">
        <v>0.12</v>
      </c>
      <c r="N6" s="17">
        <v>0</v>
      </c>
      <c r="O6" s="13">
        <f t="shared" si="3"/>
        <v>3.9999999999999994E-2</v>
      </c>
      <c r="P6" s="18">
        <f t="shared" si="4"/>
        <v>0.88899635867091487</v>
      </c>
      <c r="Q6" s="12">
        <f t="shared" si="5"/>
        <v>-94011364.929449245</v>
      </c>
      <c r="R6" s="12">
        <f t="shared" si="6"/>
        <v>-3825786512.8584433</v>
      </c>
    </row>
    <row r="7" spans="1:18" x14ac:dyDescent="0.25">
      <c r="A7" s="9">
        <f t="shared" si="0"/>
        <v>5</v>
      </c>
      <c r="B7" s="20"/>
      <c r="C7" s="12"/>
      <c r="D7" s="12"/>
      <c r="E7" s="20"/>
      <c r="F7" s="12"/>
      <c r="G7" s="19">
        <f>G6</f>
        <v>711750000</v>
      </c>
      <c r="H7" s="14">
        <v>60000000</v>
      </c>
      <c r="I7" s="21">
        <f>B3*1.1</f>
        <v>82500000</v>
      </c>
      <c r="J7" s="12">
        <f t="shared" si="1"/>
        <v>569250000</v>
      </c>
      <c r="K7" s="15">
        <v>0</v>
      </c>
      <c r="L7" s="12">
        <f t="shared" si="2"/>
        <v>569250000</v>
      </c>
      <c r="M7" s="16">
        <v>0.12</v>
      </c>
      <c r="N7" s="17">
        <v>0</v>
      </c>
      <c r="O7" s="13">
        <f t="shared" si="3"/>
        <v>3.9999999999999994E-2</v>
      </c>
      <c r="P7" s="18">
        <f t="shared" si="4"/>
        <v>0.85480419102972571</v>
      </c>
      <c r="Q7" s="12">
        <f t="shared" si="5"/>
        <v>486597285.74367136</v>
      </c>
      <c r="R7" s="12">
        <f t="shared" si="6"/>
        <v>-3339189227.1147718</v>
      </c>
    </row>
    <row r="8" spans="1:18" x14ac:dyDescent="0.25">
      <c r="A8" s="9">
        <f t="shared" si="0"/>
        <v>6</v>
      </c>
      <c r="B8" s="12"/>
      <c r="C8" s="12"/>
      <c r="D8" s="12"/>
      <c r="E8" s="12"/>
      <c r="F8" s="12"/>
      <c r="G8" s="19">
        <f>G7</f>
        <v>711750000</v>
      </c>
      <c r="H8" s="14">
        <v>60000000</v>
      </c>
      <c r="I8" s="21">
        <f t="shared" ref="I8:I10" si="7">B4*1.1</f>
        <v>220000000.00000003</v>
      </c>
      <c r="J8" s="12">
        <f t="shared" si="1"/>
        <v>431750000</v>
      </c>
      <c r="K8" s="15">
        <v>0</v>
      </c>
      <c r="L8" s="12">
        <f t="shared" si="2"/>
        <v>431750000</v>
      </c>
      <c r="M8" s="16">
        <v>0.12</v>
      </c>
      <c r="N8" s="17">
        <v>0</v>
      </c>
      <c r="O8" s="13">
        <f t="shared" si="3"/>
        <v>3.9999999999999994E-2</v>
      </c>
      <c r="P8" s="18">
        <f t="shared" si="4"/>
        <v>0.82192710675935154</v>
      </c>
      <c r="Q8" s="12">
        <f t="shared" si="5"/>
        <v>354867028.34335005</v>
      </c>
      <c r="R8" s="12">
        <f t="shared" si="6"/>
        <v>-2984322198.7714219</v>
      </c>
    </row>
    <row r="9" spans="1:18" x14ac:dyDescent="0.25">
      <c r="A9" s="9">
        <f t="shared" si="0"/>
        <v>7</v>
      </c>
      <c r="B9" s="12"/>
      <c r="C9" s="12"/>
      <c r="D9" s="12"/>
      <c r="E9" s="12"/>
      <c r="F9" s="12"/>
      <c r="G9" s="19">
        <f>G8</f>
        <v>711750000</v>
      </c>
      <c r="H9" s="14">
        <v>60000000</v>
      </c>
      <c r="I9" s="21">
        <f t="shared" si="7"/>
        <v>110000000.00000001</v>
      </c>
      <c r="J9" s="12">
        <f t="shared" si="1"/>
        <v>541750000</v>
      </c>
      <c r="K9" s="15">
        <v>0</v>
      </c>
      <c r="L9" s="12">
        <f t="shared" si="2"/>
        <v>541750000</v>
      </c>
      <c r="M9" s="16">
        <v>0.12</v>
      </c>
      <c r="N9" s="17">
        <v>0</v>
      </c>
      <c r="O9" s="13">
        <f t="shared" si="3"/>
        <v>3.9999999999999994E-2</v>
      </c>
      <c r="P9" s="18">
        <f t="shared" si="4"/>
        <v>0.79031452573014571</v>
      </c>
      <c r="Q9" s="12">
        <f t="shared" si="5"/>
        <v>428152894.31430644</v>
      </c>
      <c r="R9" s="12">
        <f t="shared" si="6"/>
        <v>-2556169304.4571157</v>
      </c>
    </row>
    <row r="10" spans="1:18" x14ac:dyDescent="0.25">
      <c r="A10" s="9">
        <f t="shared" si="0"/>
        <v>8</v>
      </c>
      <c r="B10" s="12"/>
      <c r="C10" s="12"/>
      <c r="D10" s="12"/>
      <c r="E10" s="12"/>
      <c r="F10" s="12"/>
      <c r="G10" s="19">
        <f>G9</f>
        <v>711750000</v>
      </c>
      <c r="H10" s="14">
        <v>60000000</v>
      </c>
      <c r="I10" s="21">
        <f t="shared" si="7"/>
        <v>82500000</v>
      </c>
      <c r="J10" s="12">
        <f t="shared" si="1"/>
        <v>569250000</v>
      </c>
      <c r="K10" s="15">
        <v>0</v>
      </c>
      <c r="L10" s="12">
        <f t="shared" si="2"/>
        <v>569250000</v>
      </c>
      <c r="M10" s="16">
        <v>0.12</v>
      </c>
      <c r="N10" s="17">
        <v>0</v>
      </c>
      <c r="O10" s="13">
        <f t="shared" si="3"/>
        <v>3.9999999999999994E-2</v>
      </c>
      <c r="P10" s="18">
        <f t="shared" si="4"/>
        <v>0.75991781320206331</v>
      </c>
      <c r="Q10" s="12">
        <f t="shared" si="5"/>
        <v>432583215.16527456</v>
      </c>
      <c r="R10" s="12">
        <f t="shared" si="6"/>
        <v>-2123586089.291841</v>
      </c>
    </row>
    <row r="11" spans="1:18" x14ac:dyDescent="0.25">
      <c r="A11" s="9">
        <f t="shared" si="0"/>
        <v>9</v>
      </c>
      <c r="B11" s="12"/>
      <c r="C11" s="12"/>
      <c r="D11" s="12"/>
      <c r="E11" s="12"/>
      <c r="F11" s="12"/>
      <c r="G11" s="19">
        <f t="shared" ref="G11:G27" si="8">G10</f>
        <v>711750000</v>
      </c>
      <c r="H11" s="14">
        <v>60000000</v>
      </c>
      <c r="I11" s="21">
        <f t="shared" ref="I11:I27" si="9">B7*1.1</f>
        <v>0</v>
      </c>
      <c r="J11" s="12">
        <f t="shared" si="1"/>
        <v>651750000</v>
      </c>
      <c r="K11" s="15">
        <v>0</v>
      </c>
      <c r="L11" s="12">
        <f t="shared" si="2"/>
        <v>651750000</v>
      </c>
      <c r="M11" s="16">
        <v>0.12</v>
      </c>
      <c r="N11" s="17">
        <v>0</v>
      </c>
      <c r="O11" s="13">
        <f t="shared" si="3"/>
        <v>3.9999999999999994E-2</v>
      </c>
      <c r="P11" s="18">
        <f t="shared" si="4"/>
        <v>0.73069020500198378</v>
      </c>
      <c r="Q11" s="12">
        <f t="shared" si="5"/>
        <v>476227341.11004293</v>
      </c>
      <c r="R11" s="12">
        <f t="shared" si="6"/>
        <v>-1647358748.181798</v>
      </c>
    </row>
    <row r="12" spans="1:18" x14ac:dyDescent="0.25">
      <c r="A12" s="9">
        <f t="shared" si="0"/>
        <v>10</v>
      </c>
      <c r="B12" s="12"/>
      <c r="C12" s="12"/>
      <c r="D12" s="12"/>
      <c r="E12" s="12"/>
      <c r="F12" s="12"/>
      <c r="G12" s="19">
        <f t="shared" si="8"/>
        <v>711750000</v>
      </c>
      <c r="H12" s="14">
        <v>60000000</v>
      </c>
      <c r="I12" s="21">
        <f t="shared" si="9"/>
        <v>0</v>
      </c>
      <c r="J12" s="12">
        <f t="shared" si="1"/>
        <v>651750000</v>
      </c>
      <c r="K12" s="15">
        <v>0</v>
      </c>
      <c r="L12" s="12">
        <f t="shared" si="2"/>
        <v>651750000</v>
      </c>
      <c r="M12" s="16">
        <v>0.12</v>
      </c>
      <c r="N12" s="17">
        <v>0</v>
      </c>
      <c r="O12" s="13">
        <f t="shared" si="3"/>
        <v>3.9999999999999994E-2</v>
      </c>
      <c r="P12" s="18">
        <f t="shared" si="4"/>
        <v>0.70258673557883045</v>
      </c>
      <c r="Q12" s="12">
        <f t="shared" si="5"/>
        <v>457910904.91350275</v>
      </c>
      <c r="R12" s="12">
        <f t="shared" si="6"/>
        <v>-1189447843.2682953</v>
      </c>
    </row>
    <row r="13" spans="1:18" x14ac:dyDescent="0.25">
      <c r="A13" s="9">
        <f t="shared" si="0"/>
        <v>11</v>
      </c>
      <c r="B13" s="12"/>
      <c r="C13" s="12"/>
      <c r="D13" s="12"/>
      <c r="E13" s="12"/>
      <c r="F13" s="12"/>
      <c r="G13" s="19">
        <f t="shared" si="8"/>
        <v>711750000</v>
      </c>
      <c r="H13" s="14">
        <v>60000000</v>
      </c>
      <c r="I13" s="21">
        <f t="shared" si="9"/>
        <v>0</v>
      </c>
      <c r="J13" s="12">
        <f t="shared" si="1"/>
        <v>651750000</v>
      </c>
      <c r="K13" s="15">
        <v>0</v>
      </c>
      <c r="L13" s="12">
        <f t="shared" si="2"/>
        <v>651750000</v>
      </c>
      <c r="M13" s="16">
        <v>0.12</v>
      </c>
      <c r="N13" s="17">
        <v>0</v>
      </c>
      <c r="O13" s="13">
        <f t="shared" si="3"/>
        <v>3.9999999999999994E-2</v>
      </c>
      <c r="P13" s="18">
        <f t="shared" si="4"/>
        <v>0.67556416882579851</v>
      </c>
      <c r="Q13" s="12">
        <f t="shared" si="5"/>
        <v>440298947.03221416</v>
      </c>
      <c r="R13" s="12">
        <f t="shared" si="6"/>
        <v>-749148896.23608112</v>
      </c>
    </row>
    <row r="14" spans="1:18" x14ac:dyDescent="0.25">
      <c r="A14" s="9">
        <f t="shared" si="0"/>
        <v>12</v>
      </c>
      <c r="B14" s="12"/>
      <c r="C14" s="12"/>
      <c r="D14" s="12"/>
      <c r="E14" s="12"/>
      <c r="F14" s="12"/>
      <c r="G14" s="19">
        <f t="shared" si="8"/>
        <v>711750000</v>
      </c>
      <c r="H14" s="14">
        <v>60000000</v>
      </c>
      <c r="I14" s="21">
        <f t="shared" si="9"/>
        <v>0</v>
      </c>
      <c r="J14" s="12">
        <f t="shared" si="1"/>
        <v>651750000</v>
      </c>
      <c r="K14" s="15">
        <v>0</v>
      </c>
      <c r="L14" s="12">
        <f t="shared" si="2"/>
        <v>651750000</v>
      </c>
      <c r="M14" s="16">
        <v>0.12</v>
      </c>
      <c r="N14" s="17">
        <v>0</v>
      </c>
      <c r="O14" s="13">
        <f t="shared" si="3"/>
        <v>3.9999999999999994E-2</v>
      </c>
      <c r="P14" s="18">
        <f t="shared" si="4"/>
        <v>0.6495809315632679</v>
      </c>
      <c r="Q14" s="12">
        <f t="shared" si="5"/>
        <v>423364372.14635986</v>
      </c>
      <c r="R14" s="12">
        <f t="shared" si="6"/>
        <v>-325784524.08972126</v>
      </c>
    </row>
    <row r="15" spans="1:18" x14ac:dyDescent="0.25">
      <c r="A15" s="9">
        <f t="shared" si="0"/>
        <v>13</v>
      </c>
      <c r="B15" s="12"/>
      <c r="C15" s="12"/>
      <c r="D15" s="12"/>
      <c r="E15" s="12"/>
      <c r="F15" s="12"/>
      <c r="G15" s="19">
        <f t="shared" si="8"/>
        <v>711750000</v>
      </c>
      <c r="H15" s="14">
        <v>60000000</v>
      </c>
      <c r="I15" s="21">
        <f t="shared" si="9"/>
        <v>0</v>
      </c>
      <c r="J15" s="12">
        <f t="shared" si="1"/>
        <v>651750000</v>
      </c>
      <c r="K15" s="15">
        <v>0</v>
      </c>
      <c r="L15" s="12">
        <f t="shared" si="2"/>
        <v>651750000</v>
      </c>
      <c r="M15" s="16">
        <v>0.12</v>
      </c>
      <c r="N15" s="17">
        <v>0</v>
      </c>
      <c r="O15" s="13">
        <f t="shared" si="3"/>
        <v>3.9999999999999994E-2</v>
      </c>
      <c r="P15" s="18">
        <f t="shared" si="4"/>
        <v>0.62459704958006512</v>
      </c>
      <c r="Q15" s="12">
        <f t="shared" si="5"/>
        <v>407081127.06380743</v>
      </c>
      <c r="R15" s="12">
        <f t="shared" si="6"/>
        <v>81296602.974086165</v>
      </c>
    </row>
    <row r="16" spans="1:18" x14ac:dyDescent="0.25">
      <c r="A16" s="9">
        <f t="shared" si="0"/>
        <v>14</v>
      </c>
      <c r="B16" s="12"/>
      <c r="C16" s="12"/>
      <c r="D16" s="12"/>
      <c r="E16" s="12"/>
      <c r="F16" s="12"/>
      <c r="G16" s="19">
        <f t="shared" si="8"/>
        <v>711750000</v>
      </c>
      <c r="H16" s="14">
        <v>60000000</v>
      </c>
      <c r="I16" s="21">
        <f t="shared" si="9"/>
        <v>0</v>
      </c>
      <c r="J16" s="12">
        <f t="shared" si="1"/>
        <v>651750000</v>
      </c>
      <c r="K16" s="15">
        <v>0</v>
      </c>
      <c r="L16" s="12">
        <f t="shared" si="2"/>
        <v>651750000</v>
      </c>
      <c r="M16" s="16">
        <v>0.12</v>
      </c>
      <c r="N16" s="17">
        <v>0</v>
      </c>
      <c r="O16" s="13">
        <f t="shared" si="3"/>
        <v>3.9999999999999994E-2</v>
      </c>
      <c r="P16" s="18">
        <f t="shared" si="4"/>
        <v>0.600574086134678</v>
      </c>
      <c r="Q16" s="12">
        <f t="shared" si="5"/>
        <v>391424160.6382764</v>
      </c>
      <c r="R16" s="12">
        <f>SUM(R15,Q16)</f>
        <v>472720763.61236256</v>
      </c>
    </row>
    <row r="17" spans="1:18" x14ac:dyDescent="0.25">
      <c r="A17" s="9">
        <f t="shared" si="0"/>
        <v>15</v>
      </c>
      <c r="B17" s="12"/>
      <c r="C17" s="12"/>
      <c r="D17" s="12"/>
      <c r="E17" s="12"/>
      <c r="F17" s="12"/>
      <c r="G17" s="19">
        <f t="shared" si="8"/>
        <v>711750000</v>
      </c>
      <c r="H17" s="14">
        <v>60000000</v>
      </c>
      <c r="I17" s="21">
        <f t="shared" si="9"/>
        <v>0</v>
      </c>
      <c r="J17" s="12">
        <f t="shared" si="1"/>
        <v>651750000</v>
      </c>
      <c r="K17" s="15">
        <v>0</v>
      </c>
      <c r="L17" s="12">
        <f t="shared" si="2"/>
        <v>651750000</v>
      </c>
      <c r="M17" s="16">
        <v>0.12</v>
      </c>
      <c r="N17" s="17">
        <v>0</v>
      </c>
      <c r="O17" s="13">
        <f t="shared" si="3"/>
        <v>3.9999999999999994E-2</v>
      </c>
      <c r="P17" s="18">
        <f t="shared" si="4"/>
        <v>0.57747508282180582</v>
      </c>
      <c r="Q17" s="12">
        <f t="shared" si="5"/>
        <v>376369385.22911197</v>
      </c>
      <c r="R17" s="12">
        <f t="shared" si="6"/>
        <v>849090148.84147453</v>
      </c>
    </row>
    <row r="18" spans="1:18" x14ac:dyDescent="0.25">
      <c r="A18" s="9">
        <f t="shared" si="0"/>
        <v>16</v>
      </c>
      <c r="B18" s="12"/>
      <c r="C18" s="12"/>
      <c r="D18" s="12"/>
      <c r="E18" s="12"/>
      <c r="F18" s="12"/>
      <c r="G18" s="19">
        <f t="shared" si="8"/>
        <v>711750000</v>
      </c>
      <c r="H18" s="14">
        <v>60000000</v>
      </c>
      <c r="I18" s="21">
        <f t="shared" si="9"/>
        <v>0</v>
      </c>
      <c r="J18" s="12">
        <f t="shared" si="1"/>
        <v>651750000</v>
      </c>
      <c r="K18" s="15">
        <v>0</v>
      </c>
      <c r="L18" s="12">
        <f t="shared" si="2"/>
        <v>651750000</v>
      </c>
      <c r="M18" s="16">
        <v>0.12</v>
      </c>
      <c r="N18" s="17">
        <v>0</v>
      </c>
      <c r="O18" s="13">
        <f t="shared" si="3"/>
        <v>3.9999999999999994E-2</v>
      </c>
      <c r="P18" s="18">
        <f t="shared" si="4"/>
        <v>0.55526450271327477</v>
      </c>
      <c r="Q18" s="12">
        <f t="shared" si="5"/>
        <v>361893639.64337683</v>
      </c>
      <c r="R18" s="12">
        <f t="shared" si="6"/>
        <v>1210983788.4848514</v>
      </c>
    </row>
    <row r="19" spans="1:18" x14ac:dyDescent="0.25">
      <c r="A19" s="9">
        <f t="shared" si="0"/>
        <v>17</v>
      </c>
      <c r="B19" s="12"/>
      <c r="C19" s="12"/>
      <c r="D19" s="12"/>
      <c r="E19" s="12"/>
      <c r="F19" s="12"/>
      <c r="G19" s="19">
        <f t="shared" si="8"/>
        <v>711750000</v>
      </c>
      <c r="H19" s="14">
        <v>60000000</v>
      </c>
      <c r="I19" s="21">
        <f t="shared" si="9"/>
        <v>0</v>
      </c>
      <c r="J19" s="12">
        <f t="shared" si="1"/>
        <v>651750000</v>
      </c>
      <c r="K19" s="15">
        <v>0.1</v>
      </c>
      <c r="L19" s="12">
        <f t="shared" si="2"/>
        <v>586575000</v>
      </c>
      <c r="M19" s="16">
        <v>0.12</v>
      </c>
      <c r="N19" s="17">
        <v>0</v>
      </c>
      <c r="O19" s="13">
        <f t="shared" si="3"/>
        <v>3.9999999999999994E-2</v>
      </c>
      <c r="P19" s="18">
        <f t="shared" si="4"/>
        <v>0.53390817568584104</v>
      </c>
      <c r="Q19" s="12">
        <f t="shared" si="5"/>
        <v>313177188.15292221</v>
      </c>
      <c r="R19" s="12">
        <f t="shared" si="6"/>
        <v>1524160976.6377735</v>
      </c>
    </row>
    <row r="20" spans="1:18" x14ac:dyDescent="0.25">
      <c r="A20" s="9">
        <f t="shared" si="0"/>
        <v>18</v>
      </c>
      <c r="B20" s="12"/>
      <c r="C20" s="12"/>
      <c r="D20" s="12"/>
      <c r="E20" s="12"/>
      <c r="F20" s="12"/>
      <c r="G20" s="19">
        <f t="shared" si="8"/>
        <v>711750000</v>
      </c>
      <c r="H20" s="14">
        <v>60000000</v>
      </c>
      <c r="I20" s="21">
        <f t="shared" si="9"/>
        <v>0</v>
      </c>
      <c r="J20" s="12">
        <f t="shared" si="1"/>
        <v>651750000</v>
      </c>
      <c r="K20" s="15">
        <v>0.1</v>
      </c>
      <c r="L20" s="12">
        <f t="shared" si="2"/>
        <v>586575000</v>
      </c>
      <c r="M20" s="16">
        <v>0.12</v>
      </c>
      <c r="N20" s="17">
        <v>0</v>
      </c>
      <c r="O20" s="13">
        <f t="shared" si="3"/>
        <v>3.9999999999999994E-2</v>
      </c>
      <c r="P20" s="18">
        <f t="shared" si="4"/>
        <v>0.51337324585177024</v>
      </c>
      <c r="Q20" s="12">
        <f t="shared" si="5"/>
        <v>301131911.68550211</v>
      </c>
      <c r="R20" s="12">
        <f t="shared" si="6"/>
        <v>1825292888.3232756</v>
      </c>
    </row>
    <row r="21" spans="1:18" x14ac:dyDescent="0.25">
      <c r="A21" s="9">
        <f t="shared" si="0"/>
        <v>19</v>
      </c>
      <c r="B21" s="12"/>
      <c r="C21" s="12"/>
      <c r="D21" s="12"/>
      <c r="E21" s="12"/>
      <c r="F21" s="12"/>
      <c r="G21" s="19">
        <f t="shared" si="8"/>
        <v>711750000</v>
      </c>
      <c r="H21" s="14">
        <v>60000000</v>
      </c>
      <c r="I21" s="21">
        <f t="shared" si="9"/>
        <v>0</v>
      </c>
      <c r="J21" s="12">
        <f t="shared" si="1"/>
        <v>651750000</v>
      </c>
      <c r="K21" s="15">
        <v>0.1</v>
      </c>
      <c r="L21" s="12">
        <f t="shared" si="2"/>
        <v>586575000</v>
      </c>
      <c r="M21" s="16">
        <v>0.12</v>
      </c>
      <c r="N21" s="17">
        <v>0</v>
      </c>
      <c r="O21" s="13">
        <f t="shared" si="3"/>
        <v>3.9999999999999994E-2</v>
      </c>
      <c r="P21" s="18">
        <f t="shared" si="4"/>
        <v>0.49362812101131748</v>
      </c>
      <c r="Q21" s="12">
        <f t="shared" si="5"/>
        <v>289549915.08221352</v>
      </c>
      <c r="R21" s="12">
        <f t="shared" si="6"/>
        <v>2114842803.405489</v>
      </c>
    </row>
    <row r="22" spans="1:18" x14ac:dyDescent="0.25">
      <c r="A22" s="9">
        <f t="shared" si="0"/>
        <v>20</v>
      </c>
      <c r="B22" s="12"/>
      <c r="C22" s="12"/>
      <c r="D22" s="12"/>
      <c r="E22" s="12"/>
      <c r="F22" s="12"/>
      <c r="G22" s="19">
        <f t="shared" si="8"/>
        <v>711750000</v>
      </c>
      <c r="H22" s="14">
        <v>60000000</v>
      </c>
      <c r="I22" s="21">
        <f t="shared" si="9"/>
        <v>0</v>
      </c>
      <c r="J22" s="12">
        <f t="shared" si="1"/>
        <v>651750000</v>
      </c>
      <c r="K22" s="15">
        <v>0.1</v>
      </c>
      <c r="L22" s="12">
        <f t="shared" si="2"/>
        <v>586575000</v>
      </c>
      <c r="M22" s="16">
        <v>0.12</v>
      </c>
      <c r="N22" s="17">
        <v>0</v>
      </c>
      <c r="O22" s="13">
        <f t="shared" si="3"/>
        <v>3.9999999999999994E-2</v>
      </c>
      <c r="P22" s="18">
        <f t="shared" si="4"/>
        <v>0.47464242404934376</v>
      </c>
      <c r="Q22" s="12">
        <f t="shared" si="5"/>
        <v>278413379.88674384</v>
      </c>
      <c r="R22" s="12">
        <f t="shared" si="6"/>
        <v>2393256183.292233</v>
      </c>
    </row>
    <row r="23" spans="1:18" x14ac:dyDescent="0.25">
      <c r="A23" s="9">
        <f t="shared" si="0"/>
        <v>21</v>
      </c>
      <c r="B23" s="12"/>
      <c r="C23" s="12"/>
      <c r="D23" s="12"/>
      <c r="E23" s="12"/>
      <c r="F23" s="12"/>
      <c r="G23" s="19">
        <f t="shared" si="8"/>
        <v>711750000</v>
      </c>
      <c r="H23" s="14">
        <v>60000000</v>
      </c>
      <c r="I23" s="21">
        <f t="shared" si="9"/>
        <v>0</v>
      </c>
      <c r="J23" s="12">
        <f t="shared" si="1"/>
        <v>651750000</v>
      </c>
      <c r="K23" s="15">
        <v>0.1</v>
      </c>
      <c r="L23" s="12">
        <f t="shared" si="2"/>
        <v>586575000</v>
      </c>
      <c r="M23" s="16">
        <v>0.12</v>
      </c>
      <c r="N23" s="17">
        <v>0</v>
      </c>
      <c r="O23" s="13">
        <f t="shared" si="3"/>
        <v>3.9999999999999994E-2</v>
      </c>
      <c r="P23" s="18">
        <f t="shared" si="4"/>
        <v>0.45638694620129205</v>
      </c>
      <c r="Q23" s="12">
        <f t="shared" si="5"/>
        <v>267705172.96802288</v>
      </c>
      <c r="R23" s="12">
        <f t="shared" si="6"/>
        <v>2660961356.2602558</v>
      </c>
    </row>
    <row r="24" spans="1:18" x14ac:dyDescent="0.25">
      <c r="A24" s="9">
        <f t="shared" si="0"/>
        <v>22</v>
      </c>
      <c r="B24" s="12"/>
      <c r="C24" s="12"/>
      <c r="D24" s="12"/>
      <c r="E24" s="12"/>
      <c r="F24" s="12"/>
      <c r="G24" s="19">
        <f t="shared" si="8"/>
        <v>711750000</v>
      </c>
      <c r="H24" s="14">
        <v>60000000</v>
      </c>
      <c r="I24" s="21">
        <f t="shared" si="9"/>
        <v>0</v>
      </c>
      <c r="J24" s="12">
        <f t="shared" si="1"/>
        <v>651750000</v>
      </c>
      <c r="K24" s="15">
        <v>0.1</v>
      </c>
      <c r="L24" s="12">
        <f t="shared" si="2"/>
        <v>586575000</v>
      </c>
      <c r="M24" s="16">
        <v>0.12</v>
      </c>
      <c r="N24" s="17">
        <v>0</v>
      </c>
      <c r="O24" s="13">
        <f t="shared" si="3"/>
        <v>3.9999999999999994E-2</v>
      </c>
      <c r="P24" s="18">
        <f t="shared" si="4"/>
        <v>0.43883360211662686</v>
      </c>
      <c r="Q24" s="12">
        <f t="shared" si="5"/>
        <v>257408820.16156042</v>
      </c>
      <c r="R24" s="12">
        <f t="shared" si="6"/>
        <v>2918370176.4218163</v>
      </c>
    </row>
    <row r="25" spans="1:18" x14ac:dyDescent="0.25">
      <c r="A25" s="9">
        <f t="shared" si="0"/>
        <v>23</v>
      </c>
      <c r="B25" s="12"/>
      <c r="C25" s="12"/>
      <c r="D25" s="12"/>
      <c r="E25" s="12"/>
      <c r="F25" s="12"/>
      <c r="G25" s="19">
        <f t="shared" si="8"/>
        <v>711750000</v>
      </c>
      <c r="H25" s="14">
        <v>60000000</v>
      </c>
      <c r="I25" s="21">
        <f t="shared" si="9"/>
        <v>0</v>
      </c>
      <c r="J25" s="12">
        <f t="shared" si="1"/>
        <v>651750000</v>
      </c>
      <c r="K25" s="15">
        <v>0.1</v>
      </c>
      <c r="L25" s="12">
        <f t="shared" si="2"/>
        <v>586575000</v>
      </c>
      <c r="M25" s="16">
        <v>0.12</v>
      </c>
      <c r="N25" s="17">
        <v>0</v>
      </c>
      <c r="O25" s="13">
        <f t="shared" si="3"/>
        <v>3.9999999999999994E-2</v>
      </c>
      <c r="P25" s="18">
        <f t="shared" si="4"/>
        <v>0.42195538665060278</v>
      </c>
      <c r="Q25" s="12">
        <f t="shared" si="5"/>
        <v>247508480.92457733</v>
      </c>
      <c r="R25" s="12">
        <f t="shared" si="6"/>
        <v>3165878657.3463936</v>
      </c>
    </row>
    <row r="26" spans="1:18" x14ac:dyDescent="0.25">
      <c r="A26" s="9">
        <f t="shared" si="0"/>
        <v>24</v>
      </c>
      <c r="B26" s="12"/>
      <c r="C26" s="12"/>
      <c r="D26" s="12"/>
      <c r="E26" s="12"/>
      <c r="F26" s="12"/>
      <c r="G26" s="19">
        <f t="shared" si="8"/>
        <v>711750000</v>
      </c>
      <c r="H26" s="14">
        <v>60000000</v>
      </c>
      <c r="I26" s="21">
        <f t="shared" si="9"/>
        <v>0</v>
      </c>
      <c r="J26" s="12">
        <f t="shared" si="1"/>
        <v>651750000</v>
      </c>
      <c r="K26" s="15">
        <v>0.1</v>
      </c>
      <c r="L26" s="12">
        <f t="shared" si="2"/>
        <v>586575000</v>
      </c>
      <c r="M26" s="16">
        <v>0.12</v>
      </c>
      <c r="N26" s="17">
        <v>0</v>
      </c>
      <c r="O26" s="13">
        <f t="shared" si="3"/>
        <v>3.9999999999999994E-2</v>
      </c>
      <c r="P26" s="18">
        <f t="shared" si="4"/>
        <v>0.40572633331788732</v>
      </c>
      <c r="Q26" s="12">
        <f t="shared" si="5"/>
        <v>237988923.96593976</v>
      </c>
      <c r="R26" s="12">
        <f t="shared" si="6"/>
        <v>3403867581.3123331</v>
      </c>
    </row>
    <row r="27" spans="1:18" x14ac:dyDescent="0.25">
      <c r="A27" s="9">
        <f t="shared" si="0"/>
        <v>25</v>
      </c>
      <c r="B27" s="12"/>
      <c r="C27" s="12"/>
      <c r="D27" s="12"/>
      <c r="E27" s="12"/>
      <c r="F27" s="12"/>
      <c r="G27" s="19">
        <f t="shared" si="8"/>
        <v>711750000</v>
      </c>
      <c r="H27" s="14">
        <v>60000000</v>
      </c>
      <c r="I27" s="21">
        <f t="shared" si="9"/>
        <v>0</v>
      </c>
      <c r="J27" s="12">
        <f t="shared" si="1"/>
        <v>651750000</v>
      </c>
      <c r="K27" s="15">
        <v>0.1</v>
      </c>
      <c r="L27" s="12">
        <f t="shared" si="2"/>
        <v>586575000</v>
      </c>
      <c r="M27" s="16">
        <v>0.12</v>
      </c>
      <c r="N27" s="17">
        <v>0</v>
      </c>
      <c r="O27" s="13">
        <f t="shared" si="3"/>
        <v>3.9999999999999994E-2</v>
      </c>
      <c r="P27" s="18">
        <f t="shared" si="4"/>
        <v>0.39012147434412242</v>
      </c>
      <c r="Q27" s="12">
        <f t="shared" si="5"/>
        <v>228835503.81340361</v>
      </c>
      <c r="R27" s="12">
        <f t="shared" si="6"/>
        <v>3632703085.1257367</v>
      </c>
    </row>
    <row r="28" spans="1:18" ht="15.75" x14ac:dyDescent="0.25">
      <c r="A28" s="9">
        <f t="shared" si="0"/>
        <v>26</v>
      </c>
      <c r="B28" s="22">
        <f>SUM(B3:B27)</f>
        <v>450000000</v>
      </c>
      <c r="C28" s="23"/>
      <c r="D28" s="22">
        <f>SUM(D3:D6)</f>
        <v>1925000000</v>
      </c>
      <c r="E28" s="24">
        <f>SUM(E3:E27)</f>
        <v>2125000000</v>
      </c>
      <c r="F28" s="25">
        <f>SUM(F3:F7)</f>
        <v>4500000000</v>
      </c>
      <c r="G28" s="26">
        <f>SUM(G6:G27)</f>
        <v>15658500000</v>
      </c>
      <c r="H28" s="12">
        <f>SUM(H3:H27)</f>
        <v>1500000000</v>
      </c>
      <c r="I28" s="27">
        <f>SUM(I3:I27)</f>
        <v>540000000</v>
      </c>
      <c r="J28" s="28">
        <f>SUM(J3:J27)</f>
        <v>9193500000</v>
      </c>
      <c r="L28" s="28">
        <f>SUM(L3:L27)</f>
        <v>8606925000</v>
      </c>
      <c r="R28" s="30">
        <f>SUM(R3:R27)</f>
        <v>295856519.83960104</v>
      </c>
    </row>
    <row r="29" spans="1:18" ht="15.75" x14ac:dyDescent="0.25">
      <c r="B29" s="12"/>
      <c r="Q29" s="30"/>
    </row>
    <row r="30" spans="1:18" x14ac:dyDescent="0.25">
      <c r="J30" s="31"/>
      <c r="K30" s="31" t="s">
        <v>21</v>
      </c>
      <c r="L30" s="31" t="s">
        <v>18</v>
      </c>
      <c r="Q30" s="32"/>
      <c r="R30" s="31" t="s">
        <v>33</v>
      </c>
    </row>
    <row r="31" spans="1:18" ht="15.75" x14ac:dyDescent="0.25">
      <c r="J31" s="33"/>
      <c r="K31" s="34">
        <f>J28-L28</f>
        <v>586575000</v>
      </c>
      <c r="L31" s="33">
        <f>IRR(L3:L27)</f>
        <v>0.10762162194004099</v>
      </c>
      <c r="P31" s="35"/>
      <c r="Q31" s="36"/>
      <c r="R31" s="37">
        <f>R28</f>
        <v>295856519.83960104</v>
      </c>
    </row>
    <row r="32" spans="1:18" x14ac:dyDescent="0.25">
      <c r="Q32" s="36"/>
    </row>
    <row r="33" spans="6:17" x14ac:dyDescent="0.25">
      <c r="Q33" s="38"/>
    </row>
    <row r="35" spans="6:17" x14ac:dyDescent="0.25">
      <c r="F35" s="23"/>
    </row>
    <row r="65" spans="10:10" x14ac:dyDescent="0.25">
      <c r="J65" s="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Хар-ки Гуковский ОП ГЭМК</vt:lpstr>
      <vt:lpstr>Параметры ОП ГЭМК</vt:lpstr>
      <vt:lpstr>Финмодель ОП ГЭМК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Ильюша</dc:creator>
  <cp:lastModifiedBy>Анатолий Ильюша</cp:lastModifiedBy>
  <dcterms:created xsi:type="dcterms:W3CDTF">2017-05-27T10:08:58Z</dcterms:created>
  <dcterms:modified xsi:type="dcterms:W3CDTF">2018-10-24T08:19:04Z</dcterms:modified>
</cp:coreProperties>
</file>