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натолий Ильюша\Desktop\"/>
    </mc:Choice>
  </mc:AlternateContent>
  <xr:revisionPtr revIDLastSave="0" documentId="13_ncr:1_{013B938D-7764-4C85-92AF-ACB25F67B0D4}" xr6:coauthVersionLast="45" xr6:coauthVersionMax="45" xr10:uidLastSave="{00000000-0000-0000-0000-000000000000}"/>
  <bookViews>
    <workbookView xWindow="-120" yWindow="-120" windowWidth="19440" windowHeight="15000" firstSheet="1" activeTab="2" xr2:uid="{46EC7419-58FD-42CE-82BA-CF906E9B61D0}"/>
  </bookViews>
  <sheets>
    <sheet name="Хар-ки проекта ГАЭСВЭ-Береговое" sheetId="2" r:id="rId1"/>
    <sheet name="Параметры ГАЭСВЭ-Береговое" sheetId="3" r:id="rId2"/>
    <sheet name="Финмодель ГАЭСВЭ-Береговое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5" i="1" l="1"/>
  <c r="D5" i="3" l="1"/>
  <c r="G10" i="1" s="1"/>
  <c r="D2" i="3"/>
  <c r="G21" i="1" l="1"/>
  <c r="G13" i="1"/>
  <c r="G9" i="1"/>
  <c r="G17" i="1"/>
  <c r="G24" i="1"/>
  <c r="G20" i="1"/>
  <c r="G16" i="1"/>
  <c r="G12" i="1"/>
  <c r="G23" i="1"/>
  <c r="G19" i="1"/>
  <c r="G15" i="1"/>
  <c r="G11" i="1"/>
  <c r="G22" i="1"/>
  <c r="G18" i="1"/>
  <c r="G14" i="1"/>
  <c r="H25" i="1"/>
  <c r="B4" i="1"/>
  <c r="B5" i="1"/>
  <c r="B6" i="1"/>
  <c r="B3" i="1"/>
  <c r="D3" i="1"/>
  <c r="J3" i="1" s="1"/>
  <c r="D4" i="1"/>
  <c r="D5" i="1"/>
  <c r="D6" i="1"/>
  <c r="B25" i="1" l="1"/>
  <c r="E6" i="1"/>
  <c r="D25" i="1"/>
  <c r="E5" i="1"/>
  <c r="E4" i="1"/>
  <c r="E3" i="1"/>
  <c r="J4" i="1"/>
  <c r="E25" i="1" l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M4" i="1" l="1"/>
  <c r="I5" i="1" l="1"/>
  <c r="D3" i="3" l="1"/>
  <c r="G7" i="1" l="1"/>
  <c r="G8" i="1"/>
  <c r="G5" i="1"/>
  <c r="J5" i="1" s="1"/>
  <c r="L5" i="1" s="1"/>
  <c r="J9" i="1"/>
  <c r="L9" i="1" s="1"/>
  <c r="G6" i="1"/>
  <c r="J12" i="1"/>
  <c r="L12" i="1" s="1"/>
  <c r="A4" i="1"/>
  <c r="Q3" i="1"/>
  <c r="R3" i="1" s="1"/>
  <c r="A5" i="1" l="1"/>
  <c r="R4" i="1"/>
  <c r="S4" i="1" s="1"/>
  <c r="J21" i="1"/>
  <c r="J19" i="1"/>
  <c r="J15" i="1"/>
  <c r="J20" i="1"/>
  <c r="J22" i="1"/>
  <c r="J13" i="1"/>
  <c r="J16" i="1"/>
  <c r="J10" i="1"/>
  <c r="J17" i="1"/>
  <c r="J24" i="1"/>
  <c r="J18" i="1"/>
  <c r="J11" i="1"/>
  <c r="J23" i="1"/>
  <c r="J14" i="1"/>
  <c r="G25" i="1"/>
  <c r="M9" i="1"/>
  <c r="M12" i="1"/>
  <c r="M5" i="1"/>
  <c r="M3" i="1"/>
  <c r="S3" i="1" s="1"/>
  <c r="A6" i="1" l="1"/>
  <c r="R5" i="1"/>
  <c r="S5" i="1" s="1"/>
  <c r="N12" i="1"/>
  <c r="L11" i="1"/>
  <c r="M11" i="1"/>
  <c r="L19" i="1"/>
  <c r="M19" i="1"/>
  <c r="L10" i="1"/>
  <c r="M10" i="1"/>
  <c r="L13" i="1"/>
  <c r="M13" i="1"/>
  <c r="L24" i="1"/>
  <c r="M24" i="1"/>
  <c r="L14" i="1"/>
  <c r="M14" i="1"/>
  <c r="L20" i="1"/>
  <c r="M20" i="1"/>
  <c r="N9" i="1"/>
  <c r="L23" i="1"/>
  <c r="M23" i="1"/>
  <c r="L18" i="1"/>
  <c r="M18" i="1"/>
  <c r="L17" i="1"/>
  <c r="M17" i="1"/>
  <c r="L16" i="1"/>
  <c r="M16" i="1"/>
  <c r="L22" i="1"/>
  <c r="M22" i="1"/>
  <c r="L15" i="1"/>
  <c r="M15" i="1"/>
  <c r="L21" i="1"/>
  <c r="M21" i="1"/>
  <c r="N13" i="1" l="1"/>
  <c r="A7" i="1"/>
  <c r="R6" i="1"/>
  <c r="N21" i="1"/>
  <c r="N22" i="1"/>
  <c r="N17" i="1"/>
  <c r="N23" i="1"/>
  <c r="N19" i="1"/>
  <c r="N15" i="1"/>
  <c r="N18" i="1"/>
  <c r="N14" i="1"/>
  <c r="N16" i="1"/>
  <c r="N20" i="1"/>
  <c r="N24" i="1"/>
  <c r="N10" i="1"/>
  <c r="N11" i="1"/>
  <c r="T3" i="1"/>
  <c r="R7" i="1" l="1"/>
  <c r="A8" i="1"/>
  <c r="T4" i="1"/>
  <c r="T5" i="1" s="1"/>
  <c r="R8" i="1" l="1"/>
  <c r="A9" i="1"/>
  <c r="I8" i="1"/>
  <c r="J8" i="1" s="1"/>
  <c r="L8" i="1" s="1"/>
  <c r="I7" i="1"/>
  <c r="J7" i="1" s="1"/>
  <c r="L7" i="1" s="1"/>
  <c r="R9" i="1" l="1"/>
  <c r="S9" i="1" s="1"/>
  <c r="A10" i="1"/>
  <c r="M8" i="1"/>
  <c r="S8" i="1" s="1"/>
  <c r="M7" i="1"/>
  <c r="S7" i="1" s="1"/>
  <c r="I6" i="1"/>
  <c r="I25" i="1" s="1"/>
  <c r="R10" i="1" l="1"/>
  <c r="S10" i="1" s="1"/>
  <c r="A11" i="1"/>
  <c r="N8" i="1"/>
  <c r="N7" i="1"/>
  <c r="J6" i="1"/>
  <c r="A12" i="1" l="1"/>
  <c r="R11" i="1"/>
  <c r="S11" i="1" s="1"/>
  <c r="M6" i="1"/>
  <c r="L6" i="1"/>
  <c r="J28" i="1"/>
  <c r="R12" i="1" l="1"/>
  <c r="S12" i="1" s="1"/>
  <c r="A13" i="1"/>
  <c r="L28" i="1"/>
  <c r="N6" i="1"/>
  <c r="N25" i="1" s="1"/>
  <c r="L30" i="1"/>
  <c r="M28" i="1"/>
  <c r="S6" i="1"/>
  <c r="T6" i="1" s="1"/>
  <c r="A14" i="1" l="1"/>
  <c r="R13" i="1"/>
  <c r="S13" i="1" s="1"/>
  <c r="T7" i="1"/>
  <c r="T8" i="1" s="1"/>
  <c r="T9" i="1" s="1"/>
  <c r="T10" i="1" s="1"/>
  <c r="T11" i="1" s="1"/>
  <c r="T12" i="1" s="1"/>
  <c r="T13" i="1" s="1"/>
  <c r="A15" i="1" l="1"/>
  <c r="R14" i="1"/>
  <c r="S14" i="1" s="1"/>
  <c r="T14" i="1" s="1"/>
  <c r="T31" i="1" l="1"/>
  <c r="A16" i="1"/>
  <c r="R15" i="1"/>
  <c r="S15" i="1" s="1"/>
  <c r="T15" i="1" s="1"/>
  <c r="A17" i="1" l="1"/>
  <c r="R16" i="1"/>
  <c r="S16" i="1" s="1"/>
  <c r="T16" i="1" s="1"/>
  <c r="A18" i="1" l="1"/>
  <c r="R17" i="1"/>
  <c r="S17" i="1" s="1"/>
  <c r="T17" i="1" s="1"/>
  <c r="A19" i="1" l="1"/>
  <c r="R18" i="1"/>
  <c r="S18" i="1" s="1"/>
  <c r="T18" i="1" s="1"/>
  <c r="A20" i="1" l="1"/>
  <c r="R19" i="1"/>
  <c r="S19" i="1" s="1"/>
  <c r="T19" i="1" s="1"/>
  <c r="A21" i="1" l="1"/>
  <c r="R20" i="1"/>
  <c r="S20" i="1" s="1"/>
  <c r="T20" i="1" s="1"/>
  <c r="A22" i="1" l="1"/>
  <c r="R21" i="1"/>
  <c r="S21" i="1" s="1"/>
  <c r="T21" i="1" s="1"/>
  <c r="A23" i="1" l="1"/>
  <c r="R22" i="1"/>
  <c r="S22" i="1" s="1"/>
  <c r="T22" i="1" s="1"/>
  <c r="R23" i="1" l="1"/>
  <c r="S23" i="1" s="1"/>
  <c r="T23" i="1" s="1"/>
  <c r="A24" i="1"/>
  <c r="R24" i="1" s="1"/>
  <c r="S24" i="1" s="1"/>
  <c r="T24" i="1" l="1"/>
  <c r="T28" i="1" s="1"/>
</calcChain>
</file>

<file path=xl/sharedStrings.xml><?xml version="1.0" encoding="utf-8"?>
<sst xmlns="http://schemas.openxmlformats.org/spreadsheetml/2006/main" count="54" uniqueCount="51">
  <si>
    <t>Годовая выручка, руб./год</t>
  </si>
  <si>
    <t>Год</t>
  </si>
  <si>
    <t>Займ (кредит), руб.</t>
  </si>
  <si>
    <t>Доля займа, %</t>
  </si>
  <si>
    <t>K(t), руб.</t>
  </si>
  <si>
    <t>Выручка, руб.</t>
  </si>
  <si>
    <t>Эксплуатац. расходы</t>
  </si>
  <si>
    <t>Платежи по кредиту, руб.</t>
  </si>
  <si>
    <t xml:space="preserve">  Операц. прибыль (EBIT), руб.</t>
  </si>
  <si>
    <t>Налоговые изьятия</t>
  </si>
  <si>
    <t xml:space="preserve">  Чистая прибыль </t>
  </si>
  <si>
    <t>Ставка диск.</t>
  </si>
  <si>
    <t>Субсид.проц.ст.</t>
  </si>
  <si>
    <t>Мин.проц. ставка</t>
  </si>
  <si>
    <t>Коэф. дисконтир.</t>
  </si>
  <si>
    <t>ЧДД (t) по годам</t>
  </si>
  <si>
    <t>ЧДД нараст итогом</t>
  </si>
  <si>
    <t>t</t>
  </si>
  <si>
    <t>З, руб.</t>
  </si>
  <si>
    <t>З, %</t>
  </si>
  <si>
    <t>А,руб.</t>
  </si>
  <si>
    <t>R(t), руб.</t>
  </si>
  <si>
    <t>Э(.), руб.в год</t>
  </si>
  <si>
    <t>З+%, руб.</t>
  </si>
  <si>
    <t>ОП, руб.</t>
  </si>
  <si>
    <t>%</t>
  </si>
  <si>
    <t>R(t)-K(t)-Э(t), руб.</t>
  </si>
  <si>
    <t>Велич.субсид.</t>
  </si>
  <si>
    <t>Расч.ставка Е</t>
  </si>
  <si>
    <t>1/((1+E)**(A2-1))</t>
  </si>
  <si>
    <t>ЧДД (t), руб.</t>
  </si>
  <si>
    <t>Сумма  ЧДД(t), руб.</t>
  </si>
  <si>
    <t>ВНД=</t>
  </si>
  <si>
    <t>Налоговые поступления</t>
  </si>
  <si>
    <t>Тариф на продажу, руб.</t>
  </si>
  <si>
    <t>NPV=</t>
  </si>
  <si>
    <t>NPV(10)=</t>
  </si>
  <si>
    <t>Налогов. Поступл.(10)</t>
  </si>
  <si>
    <t>Совокупная добавленная стоимость</t>
  </si>
  <si>
    <t>ООО "ППГ  "Газводбуд" - ООО  "Техноподземэнерго"-2020</t>
  </si>
  <si>
    <r>
      <rPr>
        <b/>
        <sz val="12"/>
        <color theme="9" tint="-0.249977111117893"/>
        <rFont val="Calibri"/>
        <family val="2"/>
        <charset val="204"/>
        <scheme val="minor"/>
      </rPr>
      <t>Основные инициаторы  и  исполнители  проекта:</t>
    </r>
    <r>
      <rPr>
        <b/>
        <sz val="12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Calibri"/>
        <family val="2"/>
        <charset val="204"/>
        <scheme val="minor"/>
      </rPr>
      <t xml:space="preserve">  </t>
    </r>
    <r>
      <rPr>
        <b/>
        <sz val="20"/>
        <color rgb="FF00B050"/>
        <rFont val="Calibri"/>
        <family val="2"/>
        <charset val="204"/>
        <scheme val="minor"/>
      </rPr>
      <t>ООО  "ППГ  "Газводбуд", ООО  "Техноподземэнерго", АО  "Институт Гидропроект" и другие  организации и предприятия.</t>
    </r>
  </si>
  <si>
    <t>Цель (описание) проекта:  Разработка и создание    на территории Симферопольского района Республики Крым в рамках  проекта  Минстроя  России  «Умный город» высоко эффективной системы (комплекса) производства, аккумулирования, поставки и распределения  пресной воды (водоэнергоснабжения) путем опреснения морской воды на основе возобновляемых экологически чистых генерирующих источников электрической энергии в виде солнечных и гидроаккумулирующих электрических станций (СЭС и ГАЭС соответственно) для 1-й стадии реализации проекта.</t>
  </si>
  <si>
    <t xml:space="preserve">Начало строительства - 2021 г.  Ввод в действие  и  начало опытно-промышленной  эксплуатации-2022 г. </t>
  </si>
  <si>
    <t>Производственная мощность ГАЭСВЭ</t>
  </si>
  <si>
    <t>Пресная  вода на 1-й стадии проекта,   м куб./сутки</t>
  </si>
  <si>
    <t>Пресная  вода  с реализацией 1-й  и  2-й  стадий проекта , м куб./сутки</t>
  </si>
  <si>
    <t>Бюджетн.ср-ва проекта, руб.</t>
  </si>
  <si>
    <t>Акционерн. ср-ва, руб.</t>
  </si>
  <si>
    <r>
      <rPr>
        <b/>
        <sz val="11"/>
        <color rgb="FFFF0000"/>
        <rFont val="Calibri"/>
        <family val="2"/>
        <charset val="204"/>
        <scheme val="minor"/>
      </rPr>
      <t xml:space="preserve">  *) Проект  1-й  очереди (стадии)  не окупается</t>
    </r>
    <r>
      <rPr>
        <b/>
        <sz val="11"/>
        <color theme="1"/>
        <rFont val="Calibri"/>
        <family val="2"/>
        <charset val="204"/>
        <scheme val="minor"/>
      </rPr>
      <t xml:space="preserve">. </t>
    </r>
  </si>
  <si>
    <t>Продукция   ГАЭСВЭ</t>
  </si>
  <si>
    <r>
      <t xml:space="preserve">Основные финансово-экономические показатели 1-й стадии проекта (базовый сценарий):                                                                                                                                                                                                                           Объем инвестиций (стоимость проекта), млн. руб.     -    480,0
Чистая приведенная стоимость (NPV), млн. руб.          -  </t>
    </r>
    <r>
      <rPr>
        <b/>
        <sz val="14"/>
        <color rgb="FFFF0000"/>
        <rFont val="Times New Roman"/>
        <family val="1"/>
        <charset val="204"/>
      </rPr>
      <t xml:space="preserve">*) </t>
    </r>
    <r>
      <rPr>
        <b/>
        <sz val="14"/>
        <color theme="1"/>
        <rFont val="Times New Roman"/>
        <family val="1"/>
        <charset val="204"/>
      </rPr>
      <t xml:space="preserve">
Внутренняя норма доходности проекта (IRR), %          -  </t>
    </r>
    <r>
      <rPr>
        <b/>
        <sz val="14"/>
        <color rgb="FFFF0000"/>
        <rFont val="Times New Roman"/>
        <family val="1"/>
        <charset val="204"/>
      </rPr>
      <t>*)</t>
    </r>
    <r>
      <rPr>
        <b/>
        <sz val="14"/>
        <color theme="1"/>
        <rFont val="Times New Roman"/>
        <family val="1"/>
        <charset val="204"/>
      </rPr>
      <t xml:space="preserve">
Дисконтированный срок окупаемости проекта, лет   -   </t>
    </r>
    <r>
      <rPr>
        <b/>
        <sz val="14"/>
        <color rgb="FFFF0000"/>
        <rFont val="Times New Roman"/>
        <family val="1"/>
        <charset val="204"/>
      </rPr>
      <t>*)</t>
    </r>
    <r>
      <rPr>
        <b/>
        <sz val="14"/>
        <color theme="1"/>
        <rFont val="Times New Roman"/>
        <family val="1"/>
        <charset val="204"/>
      </rPr>
      <t xml:space="preserve">
Количество создаваемых рабочих мест, чел.                 - 25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</si>
</sst>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#,##0.0"/>
    <numFmt numFmtId="166" formatCode="0.0"/>
    <numFmt numFmtId="167" formatCode="0.000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8"/>
      <color theme="1"/>
      <name val="Times New Roman"/>
      <family val="1"/>
      <charset val="204"/>
    </font>
    <font>
      <b/>
      <sz val="12"/>
      <color rgb="FFFF0000"/>
      <name val="Calibri"/>
      <family val="2"/>
      <charset val="204"/>
      <scheme val="minor"/>
    </font>
    <font>
      <b/>
      <sz val="14"/>
      <color theme="3"/>
      <name val="Calibri"/>
      <family val="2"/>
      <charset val="204"/>
      <scheme val="minor"/>
    </font>
    <font>
      <sz val="14"/>
      <color theme="3"/>
      <name val="Calibri"/>
      <family val="2"/>
      <charset val="204"/>
      <scheme val="minor"/>
    </font>
    <font>
      <b/>
      <sz val="14"/>
      <color rgb="FF00B050"/>
      <name val="Times New Roman"/>
      <family val="1"/>
      <charset val="204"/>
    </font>
    <font>
      <sz val="10"/>
      <color indexed="12"/>
      <name val="Arial Cyr"/>
      <family val="2"/>
      <charset val="204"/>
    </font>
    <font>
      <sz val="10"/>
      <color indexed="10"/>
      <name val="Arial Cyr"/>
      <family val="2"/>
      <charset val="204"/>
    </font>
    <font>
      <b/>
      <sz val="10"/>
      <color rgb="FF00B050"/>
      <name val="Arial Cyr"/>
      <charset val="204"/>
    </font>
    <font>
      <b/>
      <sz val="11"/>
      <color rgb="FF0070C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Arial Cyr"/>
      <charset val="204"/>
    </font>
    <font>
      <b/>
      <sz val="12"/>
      <color rgb="FF00B050"/>
      <name val="Arial Cyr"/>
      <charset val="204"/>
    </font>
    <font>
      <b/>
      <sz val="11"/>
      <color theme="9" tint="-0.249977111117893"/>
      <name val="Arial"/>
      <family val="2"/>
      <charset val="204"/>
    </font>
    <font>
      <b/>
      <sz val="10"/>
      <name val="Arial Cyr"/>
      <charset val="204"/>
    </font>
    <font>
      <b/>
      <sz val="12"/>
      <color rgb="FFFF0000"/>
      <name val="Arial Cyr"/>
      <charset val="204"/>
    </font>
    <font>
      <b/>
      <sz val="11"/>
      <color rgb="FFFF0000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b/>
      <sz val="12"/>
      <color theme="9" tint="-0.249977111117893"/>
      <name val="Calibri"/>
      <family val="2"/>
      <charset val="204"/>
      <scheme val="minor"/>
    </font>
    <font>
      <b/>
      <sz val="20"/>
      <color rgb="FF00B050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FF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ck">
        <color theme="4"/>
      </top>
      <bottom/>
      <diagonal/>
    </border>
  </borders>
  <cellStyleXfs count="2">
    <xf numFmtId="0" fontId="0" fillId="0" borderId="0"/>
    <xf numFmtId="0" fontId="2" fillId="0" borderId="1" applyNumberFormat="0" applyFill="0" applyAlignment="0" applyProtection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indent="1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Fill="1" applyAlignment="1">
      <alignment horizontal="center"/>
    </xf>
    <xf numFmtId="164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Fill="1" applyAlignment="1">
      <alignment horizontal="center"/>
    </xf>
    <xf numFmtId="164" fontId="10" fillId="0" borderId="0" xfId="0" applyNumberFormat="1" applyFont="1" applyAlignment="1">
      <alignment horizontal="center"/>
    </xf>
    <xf numFmtId="165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165" fontId="1" fillId="3" borderId="0" xfId="0" applyNumberFormat="1" applyFont="1" applyFill="1" applyAlignment="1">
      <alignment horizontal="center"/>
    </xf>
    <xf numFmtId="165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165" fontId="1" fillId="4" borderId="0" xfId="0" applyNumberFormat="1" applyFont="1" applyFill="1" applyAlignment="1">
      <alignment horizontal="center"/>
    </xf>
    <xf numFmtId="2" fontId="11" fillId="5" borderId="0" xfId="0" applyNumberFormat="1" applyFon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2" fontId="1" fillId="6" borderId="0" xfId="0" applyNumberFormat="1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165" fontId="12" fillId="0" borderId="0" xfId="0" applyNumberFormat="1" applyFont="1" applyAlignment="1">
      <alignment horizontal="center"/>
    </xf>
    <xf numFmtId="165" fontId="1" fillId="0" borderId="0" xfId="0" applyNumberFormat="1" applyFont="1" applyFill="1" applyAlignment="1">
      <alignment horizontal="center"/>
    </xf>
    <xf numFmtId="165" fontId="1" fillId="7" borderId="0" xfId="0" applyNumberFormat="1" applyFont="1" applyFill="1" applyAlignment="1">
      <alignment horizontal="center"/>
    </xf>
    <xf numFmtId="165" fontId="3" fillId="0" borderId="0" xfId="0" applyNumberFormat="1" applyFont="1" applyFill="1" applyAlignment="1">
      <alignment horizontal="center"/>
    </xf>
    <xf numFmtId="165" fontId="3" fillId="0" borderId="0" xfId="0" applyNumberFormat="1" applyFont="1" applyAlignment="1">
      <alignment horizontal="center"/>
    </xf>
    <xf numFmtId="165" fontId="14" fillId="0" borderId="0" xfId="0" applyNumberFormat="1" applyFont="1" applyAlignment="1">
      <alignment horizontal="center"/>
    </xf>
    <xf numFmtId="0" fontId="1" fillId="0" borderId="0" xfId="0" applyFont="1" applyFill="1" applyAlignment="1">
      <alignment horizontal="center"/>
    </xf>
    <xf numFmtId="165" fontId="15" fillId="0" borderId="0" xfId="0" applyNumberFormat="1" applyFont="1" applyAlignment="1">
      <alignment horizontal="center"/>
    </xf>
    <xf numFmtId="165" fontId="16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9" fontId="18" fillId="0" borderId="0" xfId="0" applyNumberFormat="1" applyFont="1" applyAlignment="1">
      <alignment horizontal="center"/>
    </xf>
    <xf numFmtId="165" fontId="19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9" fontId="1" fillId="0" borderId="0" xfId="0" applyNumberFormat="1" applyFont="1" applyAlignment="1">
      <alignment horizontal="center"/>
    </xf>
    <xf numFmtId="167" fontId="1" fillId="0" borderId="0" xfId="0" applyNumberFormat="1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4" fontId="24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5" fontId="20" fillId="0" borderId="0" xfId="0" applyNumberFormat="1" applyFont="1" applyFill="1" applyAlignment="1">
      <alignment horizontal="center"/>
    </xf>
    <xf numFmtId="165" fontId="1" fillId="0" borderId="0" xfId="0" applyNumberFormat="1" applyFont="1"/>
    <xf numFmtId="4" fontId="11" fillId="5" borderId="0" xfId="0" applyNumberFormat="1" applyFont="1" applyFill="1" applyAlignment="1">
      <alignment horizontal="center"/>
    </xf>
    <xf numFmtId="165" fontId="18" fillId="0" borderId="0" xfId="0" applyNumberFormat="1" applyFont="1" applyAlignment="1">
      <alignment horizontal="center"/>
    </xf>
    <xf numFmtId="165" fontId="20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26" fillId="0" borderId="0" xfId="0" applyFont="1" applyAlignment="1">
      <alignment horizontal="center" vertical="center"/>
    </xf>
    <xf numFmtId="0" fontId="27" fillId="0" borderId="0" xfId="0" applyFont="1"/>
    <xf numFmtId="0" fontId="13" fillId="0" borderId="0" xfId="0" applyFont="1" applyAlignment="1">
      <alignment horizontal="left" wrapText="1" indent="1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1" xfId="1" applyFont="1" applyAlignment="1">
      <alignment horizontal="center" vertical="center" wrapText="1"/>
    </xf>
    <xf numFmtId="0" fontId="6" fillId="0" borderId="1" xfId="1" applyFont="1" applyAlignment="1">
      <alignment horizontal="center" vertical="center" wrapText="1"/>
    </xf>
    <xf numFmtId="0" fontId="24" fillId="0" borderId="2" xfId="0" applyFont="1" applyBorder="1" applyAlignment="1">
      <alignment horizontal="left" vertical="center" wrapText="1" indent="1"/>
    </xf>
    <xf numFmtId="0" fontId="1" fillId="0" borderId="2" xfId="0" applyFont="1" applyBorder="1" applyAlignment="1">
      <alignment horizontal="left" vertical="center" indent="1"/>
    </xf>
    <xf numFmtId="0" fontId="2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Заголовок 1" xfId="1" builtinId="16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600" b="1">
                <a:solidFill>
                  <a:schemeClr val="accent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Финансовый профиль </a:t>
            </a:r>
            <a:r>
              <a:rPr lang="ru-RU" sz="1600" b="1" baseline="0">
                <a:solidFill>
                  <a:schemeClr val="accent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проекта  ГАЭСВЭ "Береговое" с  реализацией  1-й  и  2-й стадии </a:t>
            </a:r>
            <a:endParaRPr lang="ru-RU" sz="1600" b="1">
              <a:solidFill>
                <a:schemeClr val="accent1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25983981037881"/>
          <c:y val="0.320362965136162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6.9498433390185063E-2"/>
          <c:y val="0.10474642297806595"/>
          <c:w val="0.93050156660981498"/>
          <c:h val="0.888554643819003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'Финмодель ГАЭСВЭ-Береговое'!$S$3:$S$24</c:f>
              <c:numCache>
                <c:formatCode>#\ ##0.0</c:formatCode>
                <c:ptCount val="22"/>
                <c:pt idx="0">
                  <c:v>-50000000</c:v>
                </c:pt>
                <c:pt idx="1">
                  <c:v>-120192307.69230768</c:v>
                </c:pt>
                <c:pt idx="2">
                  <c:v>-102759800.29585798</c:v>
                </c:pt>
                <c:pt idx="3">
                  <c:v>-65839959.319526628</c:v>
                </c:pt>
                <c:pt idx="4">
                  <c:v>-33457890.841094494</c:v>
                </c:pt>
                <c:pt idx="5">
                  <c:v>-27288801.87151723</c:v>
                </c:pt>
                <c:pt idx="6">
                  <c:v>86847663.232485712</c:v>
                </c:pt>
                <c:pt idx="7">
                  <c:v>83507368.49277474</c:v>
                </c:pt>
                <c:pt idx="8">
                  <c:v>80295546.627667993</c:v>
                </c:pt>
                <c:pt idx="9">
                  <c:v>77207256.372757673</c:v>
                </c:pt>
                <c:pt idx="10">
                  <c:v>74237746.512266994</c:v>
                </c:pt>
                <c:pt idx="11">
                  <c:v>71382448.569487512</c:v>
                </c:pt>
                <c:pt idx="12">
                  <c:v>68636969.778353363</c:v>
                </c:pt>
                <c:pt idx="13">
                  <c:v>65997086.325339764</c:v>
                </c:pt>
                <c:pt idx="14">
                  <c:v>63458736.851288244</c:v>
                </c:pt>
                <c:pt idx="15">
                  <c:v>61018016.203161761</c:v>
                </c:pt>
                <c:pt idx="16">
                  <c:v>58671169.42611707</c:v>
                </c:pt>
                <c:pt idx="17">
                  <c:v>56414585.986651033</c:v>
                </c:pt>
                <c:pt idx="18">
                  <c:v>54244794.217933677</c:v>
                </c:pt>
                <c:pt idx="19">
                  <c:v>52158455.978782386</c:v>
                </c:pt>
                <c:pt idx="20">
                  <c:v>50152361.518059984</c:v>
                </c:pt>
                <c:pt idx="21">
                  <c:v>48223424.536596127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67-47FB-9359-3486C1F59BED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'Финмодель ГАЭСВЭ-Береговое'!$T$3:$T$24</c:f>
              <c:numCache>
                <c:formatCode>#\ ##0.0</c:formatCode>
                <c:ptCount val="22"/>
                <c:pt idx="0">
                  <c:v>-50000000</c:v>
                </c:pt>
                <c:pt idx="1">
                  <c:v>-170192307.69230768</c:v>
                </c:pt>
                <c:pt idx="2">
                  <c:v>-272952107.98816568</c:v>
                </c:pt>
                <c:pt idx="3">
                  <c:v>-338792067.30769229</c:v>
                </c:pt>
                <c:pt idx="4">
                  <c:v>-372249958.14878678</c:v>
                </c:pt>
                <c:pt idx="5">
                  <c:v>-399538760.02030402</c:v>
                </c:pt>
                <c:pt idx="6">
                  <c:v>-312691096.78781831</c:v>
                </c:pt>
                <c:pt idx="7">
                  <c:v>-229183728.29504359</c:v>
                </c:pt>
                <c:pt idx="8">
                  <c:v>-148888181.66737559</c:v>
                </c:pt>
                <c:pt idx="9">
                  <c:v>-71680925.294617921</c:v>
                </c:pt>
                <c:pt idx="10">
                  <c:v>2556821.2176490724</c:v>
                </c:pt>
                <c:pt idx="11">
                  <c:v>73939269.787136585</c:v>
                </c:pt>
                <c:pt idx="12">
                  <c:v>142576239.56548995</c:v>
                </c:pt>
                <c:pt idx="13">
                  <c:v>208573325.89082971</c:v>
                </c:pt>
                <c:pt idx="14">
                  <c:v>272032062.74211794</c:v>
                </c:pt>
                <c:pt idx="15">
                  <c:v>333050078.94527972</c:v>
                </c:pt>
                <c:pt idx="16">
                  <c:v>391721248.37139678</c:v>
                </c:pt>
                <c:pt idx="17">
                  <c:v>448135834.35804784</c:v>
                </c:pt>
                <c:pt idx="18">
                  <c:v>502380628.5759815</c:v>
                </c:pt>
                <c:pt idx="19">
                  <c:v>554539084.55476391</c:v>
                </c:pt>
                <c:pt idx="20">
                  <c:v>604691446.07282388</c:v>
                </c:pt>
                <c:pt idx="21">
                  <c:v>652914870.60942006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67-47FB-9359-3486C1F59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4058248"/>
        <c:axId val="334057264"/>
      </c:barChart>
      <c:catAx>
        <c:axId val="334058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400" b="1">
                    <a:solidFill>
                      <a:schemeClr val="accent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Годы  жизненного цикла проекта</a:t>
                </a:r>
              </a:p>
            </c:rich>
          </c:tx>
          <c:layout>
            <c:manualLayout>
              <c:xMode val="edge"/>
              <c:yMode val="edge"/>
              <c:x val="0.3859680965136531"/>
              <c:y val="0.798850670549947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34057264"/>
        <c:crosses val="autoZero"/>
        <c:auto val="1"/>
        <c:lblAlgn val="ctr"/>
        <c:lblOffset val="100"/>
        <c:noMultiLvlLbl val="0"/>
      </c:catAx>
      <c:valAx>
        <c:axId val="334057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400" b="1">
                    <a:solidFill>
                      <a:schemeClr val="accent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ЧДД, руб</a:t>
                </a:r>
                <a:r>
                  <a:rPr lang="ru-RU"/>
                  <a:t>.</a:t>
                </a:r>
              </a:p>
            </c:rich>
          </c:tx>
          <c:layout>
            <c:manualLayout>
              <c:xMode val="edge"/>
              <c:yMode val="edge"/>
              <c:x val="3.7491627731089085E-2"/>
              <c:y val="0.46942819965170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34058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904875</xdr:colOff>
      <xdr:row>34</xdr:row>
      <xdr:rowOff>17023</xdr:rowOff>
    </xdr:from>
    <xdr:to>
      <xdr:col>15</xdr:col>
      <xdr:colOff>809624</xdr:colOff>
      <xdr:row>88</xdr:row>
      <xdr:rowOff>142875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27CD6102-7B7A-438D-B59B-46E9ED072D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A21BC-A808-4CC3-A4FF-E7D87350DD79}">
  <dimension ref="A1:O7"/>
  <sheetViews>
    <sheetView topLeftCell="A13" zoomScaleNormal="100" workbookViewId="0">
      <selection activeCell="A4" sqref="A4:N4"/>
    </sheetView>
  </sheetViews>
  <sheetFormatPr defaultRowHeight="15" x14ac:dyDescent="0.25"/>
  <cols>
    <col min="1" max="1" width="9.140625" style="1" customWidth="1"/>
    <col min="2" max="12" width="9.140625" style="1"/>
    <col min="13" max="13" width="10.42578125" style="1" customWidth="1"/>
    <col min="14" max="14" width="52.5703125" style="1" customWidth="1"/>
    <col min="15" max="16384" width="9.140625" style="1"/>
  </cols>
  <sheetData>
    <row r="1" spans="1:15" ht="50.25" customHeight="1" x14ac:dyDescent="0.25">
      <c r="A1" s="57" t="s">
        <v>39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5" ht="66" customHeight="1" thickBot="1" x14ac:dyDescent="0.3">
      <c r="A2" s="59" t="s">
        <v>40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</row>
    <row r="3" spans="1:15" ht="96" customHeight="1" thickTop="1" thickBot="1" x14ac:dyDescent="0.3">
      <c r="A3" s="60" t="s">
        <v>41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</row>
    <row r="4" spans="1:15" ht="116.25" customHeight="1" thickTop="1" x14ac:dyDescent="0.25">
      <c r="A4" s="61" t="s">
        <v>50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</row>
    <row r="5" spans="1:15" ht="30.75" customHeight="1" x14ac:dyDescent="0.25">
      <c r="A5" s="63" t="s">
        <v>42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2"/>
    </row>
    <row r="6" spans="1:15" x14ac:dyDescent="0.25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5" x14ac:dyDescent="0.25">
      <c r="A7" s="55" t="s">
        <v>48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</row>
  </sheetData>
  <mergeCells count="7">
    <mergeCell ref="A7:N7"/>
    <mergeCell ref="A6:N6"/>
    <mergeCell ref="A1:N1"/>
    <mergeCell ref="A2:N2"/>
    <mergeCell ref="A3:N3"/>
    <mergeCell ref="A4:N4"/>
    <mergeCell ref="A5:N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6A062-D44B-4462-B166-40083071604D}">
  <dimension ref="A1:D12"/>
  <sheetViews>
    <sheetView topLeftCell="B1" zoomScale="110" zoomScaleNormal="110" workbookViewId="0">
      <selection activeCell="B5" sqref="B5"/>
    </sheetView>
  </sheetViews>
  <sheetFormatPr defaultRowHeight="15" x14ac:dyDescent="0.25"/>
  <cols>
    <col min="1" max="1" width="45.28515625" style="1" customWidth="1"/>
    <col min="2" max="2" width="46.85546875" style="3" customWidth="1"/>
    <col min="3" max="3" width="31.140625" style="3" customWidth="1"/>
    <col min="4" max="4" width="33.5703125" style="6" customWidth="1"/>
  </cols>
  <sheetData>
    <row r="1" spans="1:4" s="53" customFormat="1" ht="18.75" x14ac:dyDescent="0.3">
      <c r="A1" s="52" t="s">
        <v>49</v>
      </c>
      <c r="B1" s="52" t="s">
        <v>43</v>
      </c>
      <c r="C1" s="52" t="s">
        <v>34</v>
      </c>
      <c r="D1" s="52" t="s">
        <v>0</v>
      </c>
    </row>
    <row r="2" spans="1:4" ht="32.25" customHeight="1" x14ac:dyDescent="0.25">
      <c r="A2" s="54" t="s">
        <v>44</v>
      </c>
      <c r="B2" s="51">
        <v>1200</v>
      </c>
      <c r="C2" s="42">
        <v>45</v>
      </c>
      <c r="D2" s="43">
        <f>B2*C2*365</f>
        <v>19710000</v>
      </c>
    </row>
    <row r="3" spans="1:4" ht="18.75" x14ac:dyDescent="0.25">
      <c r="D3" s="5">
        <f>SUM(D2:D2)</f>
        <v>19710000</v>
      </c>
    </row>
    <row r="5" spans="1:4" ht="31.5" x14ac:dyDescent="0.25">
      <c r="A5" s="54" t="s">
        <v>45</v>
      </c>
      <c r="B5" s="51">
        <v>12000</v>
      </c>
      <c r="C5" s="42">
        <v>45</v>
      </c>
      <c r="D5" s="43">
        <f>B5*C2*365</f>
        <v>197100000</v>
      </c>
    </row>
    <row r="6" spans="1:4" x14ac:dyDescent="0.25">
      <c r="C6" s="4"/>
    </row>
    <row r="12" spans="1:4" x14ac:dyDescent="0.25">
      <c r="B12" s="4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55D9C-E69C-4BE0-A97E-38CF149DBAB6}">
  <dimension ref="A1:T53"/>
  <sheetViews>
    <sheetView tabSelected="1" zoomScaleNormal="100" workbookViewId="0">
      <selection activeCell="T12" sqref="T12"/>
    </sheetView>
  </sheetViews>
  <sheetFormatPr defaultRowHeight="15" x14ac:dyDescent="0.25"/>
  <cols>
    <col min="2" max="2" width="18.28515625" customWidth="1"/>
    <col min="3" max="3" width="18.5703125" customWidth="1"/>
    <col min="4" max="4" width="26.140625" customWidth="1"/>
    <col min="5" max="5" width="22.85546875" customWidth="1"/>
    <col min="6" max="6" width="21.5703125" customWidth="1"/>
    <col min="7" max="7" width="29.85546875" style="40" customWidth="1"/>
    <col min="8" max="8" width="21" customWidth="1"/>
    <col min="9" max="9" width="25.140625" customWidth="1"/>
    <col min="10" max="10" width="27.85546875" customWidth="1"/>
    <col min="11" max="12" width="27" customWidth="1"/>
    <col min="13" max="13" width="31.28515625" customWidth="1"/>
    <col min="14" max="14" width="33.28515625" customWidth="1"/>
    <col min="15" max="15" width="18.28515625" customWidth="1"/>
    <col min="16" max="16" width="18.140625" customWidth="1"/>
    <col min="17" max="17" width="18.42578125" customWidth="1"/>
    <col min="18" max="18" width="18.140625" customWidth="1"/>
    <col min="19" max="19" width="18.28515625" customWidth="1"/>
    <col min="20" max="20" width="36.140625" customWidth="1"/>
  </cols>
  <sheetData>
    <row r="1" spans="1:20" s="1" customFormat="1" x14ac:dyDescent="0.25">
      <c r="A1" s="7" t="s">
        <v>1</v>
      </c>
      <c r="B1" s="7" t="s">
        <v>2</v>
      </c>
      <c r="C1" s="7" t="s">
        <v>3</v>
      </c>
      <c r="D1" s="7" t="s">
        <v>46</v>
      </c>
      <c r="E1" s="7" t="s">
        <v>47</v>
      </c>
      <c r="F1" s="7" t="s">
        <v>4</v>
      </c>
      <c r="G1" s="7" t="s">
        <v>5</v>
      </c>
      <c r="H1" s="7" t="s">
        <v>6</v>
      </c>
      <c r="I1" s="7" t="s">
        <v>7</v>
      </c>
      <c r="J1" s="8" t="s">
        <v>8</v>
      </c>
      <c r="K1" s="7" t="s">
        <v>9</v>
      </c>
      <c r="L1" s="7" t="s">
        <v>33</v>
      </c>
      <c r="M1" s="7" t="s">
        <v>10</v>
      </c>
      <c r="N1" s="7" t="s">
        <v>38</v>
      </c>
      <c r="O1" s="9" t="s">
        <v>11</v>
      </c>
      <c r="P1" s="9" t="s">
        <v>12</v>
      </c>
      <c r="Q1" s="7" t="s">
        <v>13</v>
      </c>
      <c r="R1" s="10" t="s">
        <v>14</v>
      </c>
      <c r="S1" s="7" t="s">
        <v>15</v>
      </c>
      <c r="T1" s="7" t="s">
        <v>16</v>
      </c>
    </row>
    <row r="2" spans="1:20" s="1" customFormat="1" x14ac:dyDescent="0.25">
      <c r="A2" s="11" t="s">
        <v>17</v>
      </c>
      <c r="B2" s="11" t="s">
        <v>18</v>
      </c>
      <c r="C2" s="11" t="s">
        <v>19</v>
      </c>
      <c r="D2" s="11"/>
      <c r="E2" s="11" t="s">
        <v>20</v>
      </c>
      <c r="F2" s="11" t="s">
        <v>4</v>
      </c>
      <c r="G2" s="11" t="s">
        <v>21</v>
      </c>
      <c r="H2" s="11" t="s">
        <v>22</v>
      </c>
      <c r="I2" s="11" t="s">
        <v>23</v>
      </c>
      <c r="J2" s="11" t="s">
        <v>24</v>
      </c>
      <c r="K2" s="11" t="s">
        <v>25</v>
      </c>
      <c r="L2" s="11"/>
      <c r="M2" s="11" t="s">
        <v>26</v>
      </c>
      <c r="N2" s="11"/>
      <c r="O2" s="12"/>
      <c r="P2" s="12" t="s">
        <v>27</v>
      </c>
      <c r="Q2" s="11" t="s">
        <v>28</v>
      </c>
      <c r="R2" s="13" t="s">
        <v>29</v>
      </c>
      <c r="S2" s="11" t="s">
        <v>30</v>
      </c>
      <c r="T2" s="11" t="s">
        <v>31</v>
      </c>
    </row>
    <row r="3" spans="1:20" s="1" customFormat="1" x14ac:dyDescent="0.25">
      <c r="A3" s="3">
        <v>1</v>
      </c>
      <c r="B3" s="14">
        <f>F3*C3</f>
        <v>10000000</v>
      </c>
      <c r="C3" s="15">
        <v>0.1</v>
      </c>
      <c r="D3" s="14">
        <f>F3*0.5</f>
        <v>50000000</v>
      </c>
      <c r="E3" s="16">
        <f>D3-B3</f>
        <v>40000000</v>
      </c>
      <c r="F3" s="17">
        <v>100000000</v>
      </c>
      <c r="G3" s="18">
        <v>0</v>
      </c>
      <c r="H3" s="19"/>
      <c r="I3" s="14"/>
      <c r="J3" s="17">
        <f>G3-F3-H3-I3+D3</f>
        <v>-50000000</v>
      </c>
      <c r="K3" s="20">
        <v>0</v>
      </c>
      <c r="L3" s="20"/>
      <c r="M3" s="17">
        <f>J3-(J3*K3)</f>
        <v>-50000000</v>
      </c>
      <c r="N3" s="17"/>
      <c r="O3" s="21">
        <v>0.12</v>
      </c>
      <c r="P3" s="22">
        <v>0.08</v>
      </c>
      <c r="Q3" s="18">
        <f>O3-P3</f>
        <v>3.9999999999999994E-2</v>
      </c>
      <c r="R3" s="23">
        <f>1/(POWER(1+Q3,A3-1))</f>
        <v>1</v>
      </c>
      <c r="S3" s="17">
        <f>M3*R3</f>
        <v>-50000000</v>
      </c>
      <c r="T3" s="17">
        <f>SUM(T2,S3)</f>
        <v>-50000000</v>
      </c>
    </row>
    <row r="4" spans="1:20" s="1" customFormat="1" x14ac:dyDescent="0.25">
      <c r="A4" s="3">
        <f t="shared" ref="A4:A24" si="0">SUM(1,A3)</f>
        <v>2</v>
      </c>
      <c r="B4" s="14">
        <f t="shared" ref="B4:B6" si="1">F4*C4</f>
        <v>20000000</v>
      </c>
      <c r="C4" s="15">
        <v>0.1</v>
      </c>
      <c r="D4" s="14">
        <f t="shared" ref="D4:D6" si="2">F4*0.5</f>
        <v>100000000</v>
      </c>
      <c r="E4" s="16">
        <f t="shared" ref="E4:E6" si="3">D4-B4</f>
        <v>80000000</v>
      </c>
      <c r="F4" s="17">
        <v>200000000</v>
      </c>
      <c r="G4" s="18">
        <v>0</v>
      </c>
      <c r="H4" s="19">
        <v>25000000</v>
      </c>
      <c r="I4" s="14"/>
      <c r="J4" s="17">
        <f>G4-F4-H4-I4+D4</f>
        <v>-125000000</v>
      </c>
      <c r="K4" s="20">
        <v>0</v>
      </c>
      <c r="L4" s="20"/>
      <c r="M4" s="17">
        <f t="shared" ref="M4:M24" si="4">J4-(J4*K4)</f>
        <v>-125000000</v>
      </c>
      <c r="N4" s="17"/>
      <c r="O4" s="21">
        <v>0.12</v>
      </c>
      <c r="P4" s="22">
        <v>0.08</v>
      </c>
      <c r="Q4" s="18">
        <f t="shared" ref="Q4:Q24" si="5">O4-P4</f>
        <v>3.9999999999999994E-2</v>
      </c>
      <c r="R4" s="23">
        <f t="shared" ref="R4:R24" si="6">1/(POWER(1+Q4,A4-1))</f>
        <v>0.96153846153846145</v>
      </c>
      <c r="S4" s="17">
        <f t="shared" ref="S4:S24" si="7">M4*R4</f>
        <v>-120192307.69230768</v>
      </c>
      <c r="T4" s="17">
        <f t="shared" ref="T4:T24" si="8">SUM(T3,S4)</f>
        <v>-170192307.69230768</v>
      </c>
    </row>
    <row r="5" spans="1:20" s="1" customFormat="1" x14ac:dyDescent="0.25">
      <c r="A5" s="3">
        <f t="shared" si="0"/>
        <v>3</v>
      </c>
      <c r="B5" s="14">
        <f t="shared" si="1"/>
        <v>12000000</v>
      </c>
      <c r="C5" s="15">
        <v>0.1</v>
      </c>
      <c r="D5" s="14">
        <f t="shared" si="2"/>
        <v>60000000</v>
      </c>
      <c r="E5" s="16">
        <f t="shared" si="3"/>
        <v>48000000</v>
      </c>
      <c r="F5" s="17">
        <v>120000000</v>
      </c>
      <c r="G5" s="24">
        <f>'Параметры ГАЭСВЭ-Береговое'!D$3/2</f>
        <v>9855000</v>
      </c>
      <c r="H5" s="19">
        <v>50000000</v>
      </c>
      <c r="I5" s="26">
        <f>B3+(B3*C3)</f>
        <v>11000000</v>
      </c>
      <c r="J5" s="17">
        <f>G5-F5-H5-I5+D5</f>
        <v>-111145000</v>
      </c>
      <c r="K5" s="20">
        <v>0</v>
      </c>
      <c r="L5" s="20">
        <f>(K5*J5)</f>
        <v>0</v>
      </c>
      <c r="M5" s="17">
        <f t="shared" si="4"/>
        <v>-111145000</v>
      </c>
      <c r="N5" s="17"/>
      <c r="O5" s="21">
        <v>0.12</v>
      </c>
      <c r="P5" s="22">
        <v>0.08</v>
      </c>
      <c r="Q5" s="18">
        <f t="shared" si="5"/>
        <v>3.9999999999999994E-2</v>
      </c>
      <c r="R5" s="23">
        <f t="shared" si="6"/>
        <v>0.92455621301775137</v>
      </c>
      <c r="S5" s="17">
        <f t="shared" si="7"/>
        <v>-102759800.29585798</v>
      </c>
      <c r="T5" s="17">
        <f t="shared" si="8"/>
        <v>-272952107.98816568</v>
      </c>
    </row>
    <row r="6" spans="1:20" s="1" customFormat="1" x14ac:dyDescent="0.25">
      <c r="A6" s="3">
        <f t="shared" si="0"/>
        <v>4</v>
      </c>
      <c r="B6" s="14">
        <f t="shared" si="1"/>
        <v>6000000</v>
      </c>
      <c r="C6" s="15">
        <v>0.1</v>
      </c>
      <c r="D6" s="14">
        <f t="shared" si="2"/>
        <v>30000000</v>
      </c>
      <c r="E6" s="16">
        <f t="shared" si="3"/>
        <v>24000000</v>
      </c>
      <c r="F6" s="17">
        <v>60000000</v>
      </c>
      <c r="G6" s="24">
        <f>'Параметры ГАЭСВЭ-Береговое'!D$3</f>
        <v>19710000</v>
      </c>
      <c r="H6" s="19">
        <v>50000000</v>
      </c>
      <c r="I6" s="26">
        <f t="shared" ref="I6:I8" si="9">B4+(B4*C4)</f>
        <v>22000000</v>
      </c>
      <c r="J6" s="17">
        <f>G6-F6-H6-I6+D6</f>
        <v>-82290000</v>
      </c>
      <c r="K6" s="20">
        <v>0.1</v>
      </c>
      <c r="L6" s="48">
        <f>(K6*J6)</f>
        <v>-8229000</v>
      </c>
      <c r="M6" s="17">
        <f t="shared" si="4"/>
        <v>-74061000</v>
      </c>
      <c r="N6" s="17">
        <f>(G6-(H6+L6+0.2*M6))</f>
        <v>-7248800</v>
      </c>
      <c r="O6" s="21">
        <v>0.12</v>
      </c>
      <c r="P6" s="22">
        <v>0.08</v>
      </c>
      <c r="Q6" s="18">
        <f t="shared" si="5"/>
        <v>3.9999999999999994E-2</v>
      </c>
      <c r="R6" s="23">
        <f t="shared" si="6"/>
        <v>0.88899635867091487</v>
      </c>
      <c r="S6" s="17">
        <f t="shared" si="7"/>
        <v>-65839959.319526628</v>
      </c>
      <c r="T6" s="17">
        <f t="shared" si="8"/>
        <v>-338792067.30769229</v>
      </c>
    </row>
    <row r="7" spans="1:20" s="1" customFormat="1" x14ac:dyDescent="0.25">
      <c r="A7" s="3">
        <f t="shared" si="0"/>
        <v>5</v>
      </c>
      <c r="B7" s="25"/>
      <c r="C7" s="17"/>
      <c r="D7" s="17"/>
      <c r="E7" s="25"/>
      <c r="F7" s="17"/>
      <c r="G7" s="24">
        <f>'Параметры ГАЭСВЭ-Береговое'!D$3</f>
        <v>19710000</v>
      </c>
      <c r="H7" s="19">
        <v>50000000</v>
      </c>
      <c r="I7" s="26">
        <f t="shared" si="9"/>
        <v>13200000</v>
      </c>
      <c r="J7" s="17">
        <f>G7-F7-H7-I7+D7</f>
        <v>-43490000</v>
      </c>
      <c r="K7" s="20">
        <v>0.1</v>
      </c>
      <c r="L7" s="48">
        <f t="shared" ref="L7:L24" si="10">(K7*J7)</f>
        <v>-4349000</v>
      </c>
      <c r="M7" s="17">
        <f t="shared" si="4"/>
        <v>-39141000</v>
      </c>
      <c r="N7" s="17">
        <f t="shared" ref="N7:N24" si="11">(G7-(H7+L7+0.2*M7))</f>
        <v>-18112800</v>
      </c>
      <c r="O7" s="21">
        <v>0.12</v>
      </c>
      <c r="P7" s="22">
        <v>0.08</v>
      </c>
      <c r="Q7" s="18">
        <f t="shared" si="5"/>
        <v>3.9999999999999994E-2</v>
      </c>
      <c r="R7" s="23">
        <f t="shared" si="6"/>
        <v>0.85480419102972571</v>
      </c>
      <c r="S7" s="17">
        <f t="shared" si="7"/>
        <v>-33457890.841094494</v>
      </c>
      <c r="T7" s="17">
        <f t="shared" si="8"/>
        <v>-372249958.14878678</v>
      </c>
    </row>
    <row r="8" spans="1:20" s="1" customFormat="1" x14ac:dyDescent="0.25">
      <c r="A8" s="3">
        <f t="shared" si="0"/>
        <v>6</v>
      </c>
      <c r="B8" s="25"/>
      <c r="C8" s="17"/>
      <c r="D8" s="17"/>
      <c r="E8" s="17"/>
      <c r="F8" s="17"/>
      <c r="G8" s="24">
        <f>'Параметры ГАЭСВЭ-Береговое'!D$3</f>
        <v>19710000</v>
      </c>
      <c r="H8" s="19">
        <v>50000000</v>
      </c>
      <c r="I8" s="26">
        <f t="shared" si="9"/>
        <v>6600000</v>
      </c>
      <c r="J8" s="17">
        <f t="shared" ref="J8:J24" si="12">G8-F8-H8-I8+D8</f>
        <v>-36890000</v>
      </c>
      <c r="K8" s="20">
        <v>0.1</v>
      </c>
      <c r="L8" s="48">
        <f t="shared" si="10"/>
        <v>-3689000</v>
      </c>
      <c r="M8" s="17">
        <f t="shared" si="4"/>
        <v>-33201000</v>
      </c>
      <c r="N8" s="17">
        <f t="shared" si="11"/>
        <v>-19960800</v>
      </c>
      <c r="O8" s="21">
        <v>0.12</v>
      </c>
      <c r="P8" s="22">
        <v>0.08</v>
      </c>
      <c r="Q8" s="18">
        <f t="shared" si="5"/>
        <v>3.9999999999999994E-2</v>
      </c>
      <c r="R8" s="23">
        <f t="shared" si="6"/>
        <v>0.82192710675935154</v>
      </c>
      <c r="S8" s="17">
        <f t="shared" si="7"/>
        <v>-27288801.87151723</v>
      </c>
      <c r="T8" s="17">
        <f t="shared" si="8"/>
        <v>-399538760.02030402</v>
      </c>
    </row>
    <row r="9" spans="1:20" s="1" customFormat="1" x14ac:dyDescent="0.25">
      <c r="A9" s="3">
        <f t="shared" si="0"/>
        <v>7</v>
      </c>
      <c r="B9" s="25"/>
      <c r="C9" s="17"/>
      <c r="D9" s="17"/>
      <c r="E9" s="17"/>
      <c r="F9" s="17"/>
      <c r="G9" s="24">
        <f>'Параметры ГАЭСВЭ-Береговое'!D$5</f>
        <v>197100000</v>
      </c>
      <c r="H9" s="19">
        <v>75000000</v>
      </c>
      <c r="I9" s="26"/>
      <c r="J9" s="17">
        <f t="shared" si="12"/>
        <v>122100000</v>
      </c>
      <c r="K9" s="20">
        <v>0.1</v>
      </c>
      <c r="L9" s="48">
        <f t="shared" si="10"/>
        <v>12210000</v>
      </c>
      <c r="M9" s="17">
        <f t="shared" si="4"/>
        <v>109890000</v>
      </c>
      <c r="N9" s="17">
        <f t="shared" si="11"/>
        <v>87912000</v>
      </c>
      <c r="O9" s="21">
        <v>0.12</v>
      </c>
      <c r="P9" s="22">
        <v>0.08</v>
      </c>
      <c r="Q9" s="18">
        <f t="shared" si="5"/>
        <v>3.9999999999999994E-2</v>
      </c>
      <c r="R9" s="23">
        <f t="shared" si="6"/>
        <v>0.79031452573014571</v>
      </c>
      <c r="S9" s="17">
        <f t="shared" si="7"/>
        <v>86847663.232485712</v>
      </c>
      <c r="T9" s="17">
        <f t="shared" si="8"/>
        <v>-312691096.78781831</v>
      </c>
    </row>
    <row r="10" spans="1:20" s="1" customFormat="1" x14ac:dyDescent="0.25">
      <c r="A10" s="3">
        <f t="shared" si="0"/>
        <v>8</v>
      </c>
      <c r="B10" s="25"/>
      <c r="C10" s="17"/>
      <c r="D10" s="17"/>
      <c r="E10" s="17"/>
      <c r="F10" s="17"/>
      <c r="G10" s="24">
        <f>'Параметры ГАЭСВЭ-Береговое'!D$5</f>
        <v>197100000</v>
      </c>
      <c r="H10" s="19">
        <v>75000000</v>
      </c>
      <c r="I10" s="26"/>
      <c r="J10" s="17">
        <f t="shared" si="12"/>
        <v>122100000</v>
      </c>
      <c r="K10" s="20">
        <v>0.1</v>
      </c>
      <c r="L10" s="48">
        <f t="shared" si="10"/>
        <v>12210000</v>
      </c>
      <c r="M10" s="17">
        <f t="shared" si="4"/>
        <v>109890000</v>
      </c>
      <c r="N10" s="17">
        <f t="shared" si="11"/>
        <v>87912000</v>
      </c>
      <c r="O10" s="21">
        <v>0.12</v>
      </c>
      <c r="P10" s="22">
        <v>0.08</v>
      </c>
      <c r="Q10" s="18">
        <f t="shared" si="5"/>
        <v>3.9999999999999994E-2</v>
      </c>
      <c r="R10" s="23">
        <f t="shared" si="6"/>
        <v>0.75991781320206331</v>
      </c>
      <c r="S10" s="17">
        <f t="shared" si="7"/>
        <v>83507368.49277474</v>
      </c>
      <c r="T10" s="17">
        <f t="shared" si="8"/>
        <v>-229183728.29504359</v>
      </c>
    </row>
    <row r="11" spans="1:20" s="1" customFormat="1" x14ac:dyDescent="0.25">
      <c r="A11" s="44">
        <f t="shared" si="0"/>
        <v>9</v>
      </c>
      <c r="B11" s="25"/>
      <c r="C11" s="17"/>
      <c r="D11" s="17"/>
      <c r="E11" s="17"/>
      <c r="F11" s="17"/>
      <c r="G11" s="24">
        <f>'Параметры ГАЭСВЭ-Береговое'!D$5</f>
        <v>197100000</v>
      </c>
      <c r="H11" s="19">
        <v>75000000</v>
      </c>
      <c r="I11" s="26"/>
      <c r="J11" s="17">
        <f t="shared" si="12"/>
        <v>122100000</v>
      </c>
      <c r="K11" s="20">
        <v>0.1</v>
      </c>
      <c r="L11" s="48">
        <f t="shared" si="10"/>
        <v>12210000</v>
      </c>
      <c r="M11" s="17">
        <f t="shared" si="4"/>
        <v>109890000</v>
      </c>
      <c r="N11" s="17">
        <f t="shared" si="11"/>
        <v>87912000</v>
      </c>
      <c r="O11" s="21">
        <v>0.12</v>
      </c>
      <c r="P11" s="22">
        <v>0.08</v>
      </c>
      <c r="Q11" s="18">
        <f t="shared" si="5"/>
        <v>3.9999999999999994E-2</v>
      </c>
      <c r="R11" s="23">
        <f t="shared" si="6"/>
        <v>0.73069020500198378</v>
      </c>
      <c r="S11" s="17">
        <f t="shared" si="7"/>
        <v>80295546.627667993</v>
      </c>
      <c r="T11" s="17">
        <f t="shared" si="8"/>
        <v>-148888181.66737559</v>
      </c>
    </row>
    <row r="12" spans="1:20" s="1" customFormat="1" x14ac:dyDescent="0.25">
      <c r="A12" s="44">
        <f t="shared" si="0"/>
        <v>10</v>
      </c>
      <c r="B12" s="25"/>
      <c r="C12" s="17"/>
      <c r="D12" s="17"/>
      <c r="E12" s="17"/>
      <c r="F12" s="17"/>
      <c r="G12" s="24">
        <f>'Параметры ГАЭСВЭ-Береговое'!D$5</f>
        <v>197100000</v>
      </c>
      <c r="H12" s="19">
        <v>75000000</v>
      </c>
      <c r="I12" s="26"/>
      <c r="J12" s="17">
        <f t="shared" si="12"/>
        <v>122100000</v>
      </c>
      <c r="K12" s="20">
        <v>0.1</v>
      </c>
      <c r="L12" s="48">
        <f t="shared" si="10"/>
        <v>12210000</v>
      </c>
      <c r="M12" s="17">
        <f t="shared" si="4"/>
        <v>109890000</v>
      </c>
      <c r="N12" s="17">
        <f t="shared" si="11"/>
        <v>87912000</v>
      </c>
      <c r="O12" s="21">
        <v>0.12</v>
      </c>
      <c r="P12" s="22">
        <v>0.08</v>
      </c>
      <c r="Q12" s="18">
        <f t="shared" si="5"/>
        <v>3.9999999999999994E-2</v>
      </c>
      <c r="R12" s="23">
        <f t="shared" si="6"/>
        <v>0.70258673557883045</v>
      </c>
      <c r="S12" s="17">
        <f t="shared" si="7"/>
        <v>77207256.372757673</v>
      </c>
      <c r="T12" s="17">
        <f t="shared" si="8"/>
        <v>-71680925.294617921</v>
      </c>
    </row>
    <row r="13" spans="1:20" s="1" customFormat="1" x14ac:dyDescent="0.25">
      <c r="A13" s="44">
        <f t="shared" si="0"/>
        <v>11</v>
      </c>
      <c r="B13" s="25"/>
      <c r="C13" s="17"/>
      <c r="D13" s="17"/>
      <c r="E13" s="17"/>
      <c r="F13" s="17"/>
      <c r="G13" s="24">
        <f>'Параметры ГАЭСВЭ-Береговое'!D$5</f>
        <v>197100000</v>
      </c>
      <c r="H13" s="19">
        <v>75000000</v>
      </c>
      <c r="I13" s="26"/>
      <c r="J13" s="17">
        <f t="shared" si="12"/>
        <v>122100000</v>
      </c>
      <c r="K13" s="20">
        <v>0.1</v>
      </c>
      <c r="L13" s="48">
        <f t="shared" si="10"/>
        <v>12210000</v>
      </c>
      <c r="M13" s="17">
        <f t="shared" si="4"/>
        <v>109890000</v>
      </c>
      <c r="N13" s="17">
        <f t="shared" si="11"/>
        <v>87912000</v>
      </c>
      <c r="O13" s="21">
        <v>0.12</v>
      </c>
      <c r="P13" s="22">
        <v>0.08</v>
      </c>
      <c r="Q13" s="18">
        <f t="shared" si="5"/>
        <v>3.9999999999999994E-2</v>
      </c>
      <c r="R13" s="23">
        <f t="shared" si="6"/>
        <v>0.67556416882579851</v>
      </c>
      <c r="S13" s="17">
        <f t="shared" si="7"/>
        <v>74237746.512266994</v>
      </c>
      <c r="T13" s="17">
        <f t="shared" si="8"/>
        <v>2556821.2176490724</v>
      </c>
    </row>
    <row r="14" spans="1:20" s="1" customFormat="1" x14ac:dyDescent="0.25">
      <c r="A14" s="44">
        <f t="shared" si="0"/>
        <v>12</v>
      </c>
      <c r="B14" s="25"/>
      <c r="C14" s="17"/>
      <c r="D14" s="17"/>
      <c r="E14" s="17"/>
      <c r="F14" s="17"/>
      <c r="G14" s="24">
        <f>'Параметры ГАЭСВЭ-Береговое'!D$5</f>
        <v>197100000</v>
      </c>
      <c r="H14" s="19">
        <v>75000000</v>
      </c>
      <c r="I14" s="26"/>
      <c r="J14" s="17">
        <f t="shared" si="12"/>
        <v>122100000</v>
      </c>
      <c r="K14" s="20">
        <v>0.1</v>
      </c>
      <c r="L14" s="48">
        <f t="shared" si="10"/>
        <v>12210000</v>
      </c>
      <c r="M14" s="17">
        <f t="shared" si="4"/>
        <v>109890000</v>
      </c>
      <c r="N14" s="17">
        <f t="shared" si="11"/>
        <v>87912000</v>
      </c>
      <c r="O14" s="21">
        <v>0.12</v>
      </c>
      <c r="P14" s="22">
        <v>0.08</v>
      </c>
      <c r="Q14" s="18">
        <f t="shared" si="5"/>
        <v>3.9999999999999994E-2</v>
      </c>
      <c r="R14" s="23">
        <f t="shared" si="6"/>
        <v>0.6495809315632679</v>
      </c>
      <c r="S14" s="17">
        <f t="shared" si="7"/>
        <v>71382448.569487512</v>
      </c>
      <c r="T14" s="17">
        <f t="shared" si="8"/>
        <v>73939269.787136585</v>
      </c>
    </row>
    <row r="15" spans="1:20" s="1" customFormat="1" x14ac:dyDescent="0.25">
      <c r="A15" s="44">
        <f t="shared" si="0"/>
        <v>13</v>
      </c>
      <c r="B15" s="25"/>
      <c r="C15" s="17"/>
      <c r="D15" s="17"/>
      <c r="E15" s="17"/>
      <c r="F15" s="17"/>
      <c r="G15" s="24">
        <f>'Параметры ГАЭСВЭ-Береговое'!D$5</f>
        <v>197100000</v>
      </c>
      <c r="H15" s="19">
        <v>75000000</v>
      </c>
      <c r="I15" s="26"/>
      <c r="J15" s="17">
        <f t="shared" si="12"/>
        <v>122100000</v>
      </c>
      <c r="K15" s="20">
        <v>0.1</v>
      </c>
      <c r="L15" s="48">
        <f t="shared" si="10"/>
        <v>12210000</v>
      </c>
      <c r="M15" s="17">
        <f t="shared" si="4"/>
        <v>109890000</v>
      </c>
      <c r="N15" s="17">
        <f t="shared" si="11"/>
        <v>87912000</v>
      </c>
      <c r="O15" s="21">
        <v>0.12</v>
      </c>
      <c r="P15" s="22">
        <v>0.08</v>
      </c>
      <c r="Q15" s="18">
        <f t="shared" si="5"/>
        <v>3.9999999999999994E-2</v>
      </c>
      <c r="R15" s="23">
        <f t="shared" si="6"/>
        <v>0.62459704958006512</v>
      </c>
      <c r="S15" s="17">
        <f t="shared" si="7"/>
        <v>68636969.778353363</v>
      </c>
      <c r="T15" s="17">
        <f t="shared" si="8"/>
        <v>142576239.56548995</v>
      </c>
    </row>
    <row r="16" spans="1:20" s="1" customFormat="1" x14ac:dyDescent="0.25">
      <c r="A16" s="44">
        <f t="shared" si="0"/>
        <v>14</v>
      </c>
      <c r="B16" s="25"/>
      <c r="C16" s="17"/>
      <c r="D16" s="17"/>
      <c r="E16" s="17"/>
      <c r="F16" s="17"/>
      <c r="G16" s="24">
        <f>'Параметры ГАЭСВЭ-Береговое'!D$5</f>
        <v>197100000</v>
      </c>
      <c r="H16" s="19">
        <v>75000000</v>
      </c>
      <c r="I16" s="26"/>
      <c r="J16" s="17">
        <f t="shared" si="12"/>
        <v>122100000</v>
      </c>
      <c r="K16" s="20">
        <v>0.1</v>
      </c>
      <c r="L16" s="48">
        <f t="shared" si="10"/>
        <v>12210000</v>
      </c>
      <c r="M16" s="17">
        <f t="shared" si="4"/>
        <v>109890000</v>
      </c>
      <c r="N16" s="17">
        <f t="shared" si="11"/>
        <v>87912000</v>
      </c>
      <c r="O16" s="21">
        <v>0.12</v>
      </c>
      <c r="P16" s="22">
        <v>0.08</v>
      </c>
      <c r="Q16" s="18">
        <f t="shared" si="5"/>
        <v>3.9999999999999994E-2</v>
      </c>
      <c r="R16" s="23">
        <f t="shared" si="6"/>
        <v>0.600574086134678</v>
      </c>
      <c r="S16" s="17">
        <f t="shared" si="7"/>
        <v>65997086.325339764</v>
      </c>
      <c r="T16" s="17">
        <f t="shared" si="8"/>
        <v>208573325.89082971</v>
      </c>
    </row>
    <row r="17" spans="1:20" s="1" customFormat="1" x14ac:dyDescent="0.25">
      <c r="A17" s="44">
        <f t="shared" si="0"/>
        <v>15</v>
      </c>
      <c r="B17" s="25"/>
      <c r="C17" s="17"/>
      <c r="D17" s="17"/>
      <c r="E17" s="17"/>
      <c r="F17" s="17"/>
      <c r="G17" s="24">
        <f>'Параметры ГАЭСВЭ-Береговое'!D$5</f>
        <v>197100000</v>
      </c>
      <c r="H17" s="19">
        <v>75000000</v>
      </c>
      <c r="I17" s="26"/>
      <c r="J17" s="17">
        <f t="shared" si="12"/>
        <v>122100000</v>
      </c>
      <c r="K17" s="20">
        <v>0.1</v>
      </c>
      <c r="L17" s="48">
        <f t="shared" si="10"/>
        <v>12210000</v>
      </c>
      <c r="M17" s="17">
        <f t="shared" si="4"/>
        <v>109890000</v>
      </c>
      <c r="N17" s="17">
        <f t="shared" si="11"/>
        <v>87912000</v>
      </c>
      <c r="O17" s="21">
        <v>0.12</v>
      </c>
      <c r="P17" s="22">
        <v>0.08</v>
      </c>
      <c r="Q17" s="18">
        <f t="shared" si="5"/>
        <v>3.9999999999999994E-2</v>
      </c>
      <c r="R17" s="23">
        <f t="shared" si="6"/>
        <v>0.57747508282180582</v>
      </c>
      <c r="S17" s="17">
        <f t="shared" si="7"/>
        <v>63458736.851288244</v>
      </c>
      <c r="T17" s="17">
        <f t="shared" si="8"/>
        <v>272032062.74211794</v>
      </c>
    </row>
    <row r="18" spans="1:20" s="1" customFormat="1" x14ac:dyDescent="0.25">
      <c r="A18" s="44">
        <f t="shared" si="0"/>
        <v>16</v>
      </c>
      <c r="B18" s="25"/>
      <c r="C18" s="17"/>
      <c r="D18" s="17"/>
      <c r="E18" s="17"/>
      <c r="F18" s="17"/>
      <c r="G18" s="24">
        <f>'Параметры ГАЭСВЭ-Береговое'!D$5</f>
        <v>197100000</v>
      </c>
      <c r="H18" s="19">
        <v>75000000</v>
      </c>
      <c r="I18" s="26"/>
      <c r="J18" s="17">
        <f t="shared" si="12"/>
        <v>122100000</v>
      </c>
      <c r="K18" s="20">
        <v>0.1</v>
      </c>
      <c r="L18" s="48">
        <f t="shared" si="10"/>
        <v>12210000</v>
      </c>
      <c r="M18" s="17">
        <f t="shared" si="4"/>
        <v>109890000</v>
      </c>
      <c r="N18" s="17">
        <f t="shared" si="11"/>
        <v>87912000</v>
      </c>
      <c r="O18" s="21">
        <v>0.12</v>
      </c>
      <c r="P18" s="22">
        <v>0.08</v>
      </c>
      <c r="Q18" s="18">
        <f t="shared" si="5"/>
        <v>3.9999999999999994E-2</v>
      </c>
      <c r="R18" s="23">
        <f t="shared" si="6"/>
        <v>0.55526450271327477</v>
      </c>
      <c r="S18" s="17">
        <f t="shared" si="7"/>
        <v>61018016.203161761</v>
      </c>
      <c r="T18" s="17">
        <f t="shared" si="8"/>
        <v>333050078.94527972</v>
      </c>
    </row>
    <row r="19" spans="1:20" s="1" customFormat="1" x14ac:dyDescent="0.25">
      <c r="A19" s="44">
        <f t="shared" si="0"/>
        <v>17</v>
      </c>
      <c r="B19" s="25"/>
      <c r="C19" s="17"/>
      <c r="D19" s="17"/>
      <c r="E19" s="17"/>
      <c r="F19" s="17"/>
      <c r="G19" s="24">
        <f>'Параметры ГАЭСВЭ-Береговое'!D$5</f>
        <v>197100000</v>
      </c>
      <c r="H19" s="19">
        <v>75000000</v>
      </c>
      <c r="I19" s="26"/>
      <c r="J19" s="17">
        <f t="shared" si="12"/>
        <v>122100000</v>
      </c>
      <c r="K19" s="20">
        <v>0.1</v>
      </c>
      <c r="L19" s="48">
        <f t="shared" si="10"/>
        <v>12210000</v>
      </c>
      <c r="M19" s="17">
        <f t="shared" si="4"/>
        <v>109890000</v>
      </c>
      <c r="N19" s="17">
        <f t="shared" si="11"/>
        <v>87912000</v>
      </c>
      <c r="O19" s="21">
        <v>0.12</v>
      </c>
      <c r="P19" s="22">
        <v>0.08</v>
      </c>
      <c r="Q19" s="18">
        <f t="shared" si="5"/>
        <v>3.9999999999999994E-2</v>
      </c>
      <c r="R19" s="23">
        <f t="shared" si="6"/>
        <v>0.53390817568584104</v>
      </c>
      <c r="S19" s="17">
        <f t="shared" si="7"/>
        <v>58671169.42611707</v>
      </c>
      <c r="T19" s="17">
        <f t="shared" si="8"/>
        <v>391721248.37139678</v>
      </c>
    </row>
    <row r="20" spans="1:20" s="1" customFormat="1" x14ac:dyDescent="0.25">
      <c r="A20" s="44">
        <f t="shared" si="0"/>
        <v>18</v>
      </c>
      <c r="B20" s="25"/>
      <c r="C20" s="17"/>
      <c r="D20" s="17"/>
      <c r="E20" s="17"/>
      <c r="F20" s="17"/>
      <c r="G20" s="24">
        <f>'Параметры ГАЭСВЭ-Береговое'!D$5</f>
        <v>197100000</v>
      </c>
      <c r="H20" s="19">
        <v>75000000</v>
      </c>
      <c r="I20" s="26"/>
      <c r="J20" s="17">
        <f t="shared" si="12"/>
        <v>122100000</v>
      </c>
      <c r="K20" s="20">
        <v>0.1</v>
      </c>
      <c r="L20" s="48">
        <f t="shared" si="10"/>
        <v>12210000</v>
      </c>
      <c r="M20" s="17">
        <f t="shared" si="4"/>
        <v>109890000</v>
      </c>
      <c r="N20" s="17">
        <f t="shared" si="11"/>
        <v>87912000</v>
      </c>
      <c r="O20" s="21">
        <v>0.12</v>
      </c>
      <c r="P20" s="22">
        <v>0.08</v>
      </c>
      <c r="Q20" s="18">
        <f t="shared" si="5"/>
        <v>3.9999999999999994E-2</v>
      </c>
      <c r="R20" s="23">
        <f t="shared" si="6"/>
        <v>0.51337324585177024</v>
      </c>
      <c r="S20" s="17">
        <f t="shared" si="7"/>
        <v>56414585.986651033</v>
      </c>
      <c r="T20" s="17">
        <f t="shared" si="8"/>
        <v>448135834.35804784</v>
      </c>
    </row>
    <row r="21" spans="1:20" s="1" customFormat="1" x14ac:dyDescent="0.25">
      <c r="A21" s="44">
        <f t="shared" si="0"/>
        <v>19</v>
      </c>
      <c r="B21" s="46"/>
      <c r="C21" s="17"/>
      <c r="D21" s="17"/>
      <c r="E21" s="17"/>
      <c r="F21" s="17"/>
      <c r="G21" s="24">
        <f>'Параметры ГАЭСВЭ-Береговое'!D$5</f>
        <v>197100000</v>
      </c>
      <c r="H21" s="19">
        <v>75000000</v>
      </c>
      <c r="I21" s="26"/>
      <c r="J21" s="17">
        <f t="shared" si="12"/>
        <v>122100000</v>
      </c>
      <c r="K21" s="20">
        <v>0.1</v>
      </c>
      <c r="L21" s="48">
        <f t="shared" si="10"/>
        <v>12210000</v>
      </c>
      <c r="M21" s="17">
        <f t="shared" si="4"/>
        <v>109890000</v>
      </c>
      <c r="N21" s="17">
        <f t="shared" si="11"/>
        <v>87912000</v>
      </c>
      <c r="O21" s="21">
        <v>0.12</v>
      </c>
      <c r="P21" s="22">
        <v>0.08</v>
      </c>
      <c r="Q21" s="18">
        <f t="shared" si="5"/>
        <v>3.9999999999999994E-2</v>
      </c>
      <c r="R21" s="23">
        <f t="shared" si="6"/>
        <v>0.49362812101131748</v>
      </c>
      <c r="S21" s="17">
        <f t="shared" si="7"/>
        <v>54244794.217933677</v>
      </c>
      <c r="T21" s="17">
        <f t="shared" si="8"/>
        <v>502380628.5759815</v>
      </c>
    </row>
    <row r="22" spans="1:20" s="1" customFormat="1" x14ac:dyDescent="0.25">
      <c r="A22" s="44">
        <f t="shared" si="0"/>
        <v>20</v>
      </c>
      <c r="B22" s="25"/>
      <c r="C22" s="17"/>
      <c r="D22" s="17"/>
      <c r="E22" s="17"/>
      <c r="F22" s="17"/>
      <c r="G22" s="24">
        <f>'Параметры ГАЭСВЭ-Береговое'!D$5</f>
        <v>197100000</v>
      </c>
      <c r="H22" s="19">
        <v>75000000</v>
      </c>
      <c r="I22" s="26"/>
      <c r="J22" s="17">
        <f t="shared" si="12"/>
        <v>122100000</v>
      </c>
      <c r="K22" s="20">
        <v>0.1</v>
      </c>
      <c r="L22" s="48">
        <f t="shared" si="10"/>
        <v>12210000</v>
      </c>
      <c r="M22" s="17">
        <f t="shared" si="4"/>
        <v>109890000</v>
      </c>
      <c r="N22" s="17">
        <f t="shared" si="11"/>
        <v>87912000</v>
      </c>
      <c r="O22" s="21">
        <v>0.12</v>
      </c>
      <c r="P22" s="22">
        <v>0.08</v>
      </c>
      <c r="Q22" s="18">
        <f t="shared" si="5"/>
        <v>3.9999999999999994E-2</v>
      </c>
      <c r="R22" s="23">
        <f t="shared" si="6"/>
        <v>0.47464242404934376</v>
      </c>
      <c r="S22" s="17">
        <f t="shared" si="7"/>
        <v>52158455.978782386</v>
      </c>
      <c r="T22" s="17">
        <f t="shared" si="8"/>
        <v>554539084.55476391</v>
      </c>
    </row>
    <row r="23" spans="1:20" s="1" customFormat="1" x14ac:dyDescent="0.25">
      <c r="A23" s="44">
        <f t="shared" si="0"/>
        <v>21</v>
      </c>
      <c r="B23" s="25"/>
      <c r="C23" s="17"/>
      <c r="D23" s="17"/>
      <c r="E23" s="17"/>
      <c r="F23" s="17"/>
      <c r="G23" s="24">
        <f>'Параметры ГАЭСВЭ-Береговое'!D$5</f>
        <v>197100000</v>
      </c>
      <c r="H23" s="19">
        <v>75000000</v>
      </c>
      <c r="I23" s="26"/>
      <c r="J23" s="17">
        <f t="shared" si="12"/>
        <v>122100000</v>
      </c>
      <c r="K23" s="20">
        <v>0.1</v>
      </c>
      <c r="L23" s="48">
        <f t="shared" si="10"/>
        <v>12210000</v>
      </c>
      <c r="M23" s="17">
        <f t="shared" si="4"/>
        <v>109890000</v>
      </c>
      <c r="N23" s="17">
        <f t="shared" si="11"/>
        <v>87912000</v>
      </c>
      <c r="O23" s="21">
        <v>0.12</v>
      </c>
      <c r="P23" s="22">
        <v>0.08</v>
      </c>
      <c r="Q23" s="18">
        <f t="shared" si="5"/>
        <v>3.9999999999999994E-2</v>
      </c>
      <c r="R23" s="23">
        <f t="shared" si="6"/>
        <v>0.45638694620129205</v>
      </c>
      <c r="S23" s="17">
        <f t="shared" si="7"/>
        <v>50152361.518059984</v>
      </c>
      <c r="T23" s="17">
        <f t="shared" si="8"/>
        <v>604691446.07282388</v>
      </c>
    </row>
    <row r="24" spans="1:20" s="1" customFormat="1" x14ac:dyDescent="0.25">
      <c r="A24" s="44">
        <f t="shared" si="0"/>
        <v>22</v>
      </c>
      <c r="B24" s="25"/>
      <c r="C24" s="17"/>
      <c r="D24" s="17"/>
      <c r="E24" s="17"/>
      <c r="F24" s="17"/>
      <c r="G24" s="24">
        <f>'Параметры ГАЭСВЭ-Береговое'!D$5</f>
        <v>197100000</v>
      </c>
      <c r="H24" s="19">
        <v>75000000</v>
      </c>
      <c r="I24" s="26"/>
      <c r="J24" s="17">
        <f t="shared" si="12"/>
        <v>122100000</v>
      </c>
      <c r="K24" s="20">
        <v>0.1</v>
      </c>
      <c r="L24" s="48">
        <f t="shared" si="10"/>
        <v>12210000</v>
      </c>
      <c r="M24" s="17">
        <f t="shared" si="4"/>
        <v>109890000</v>
      </c>
      <c r="N24" s="17">
        <f t="shared" si="11"/>
        <v>87912000</v>
      </c>
      <c r="O24" s="21">
        <v>0.12</v>
      </c>
      <c r="P24" s="22">
        <v>0.08</v>
      </c>
      <c r="Q24" s="18">
        <f t="shared" si="5"/>
        <v>3.9999999999999994E-2</v>
      </c>
      <c r="R24" s="23">
        <f t="shared" si="6"/>
        <v>0.43883360211662686</v>
      </c>
      <c r="S24" s="17">
        <f t="shared" si="7"/>
        <v>48223424.536596127</v>
      </c>
      <c r="T24" s="17">
        <f t="shared" si="8"/>
        <v>652914870.60942006</v>
      </c>
    </row>
    <row r="25" spans="1:20" s="1" customFormat="1" ht="15.75" x14ac:dyDescent="0.25">
      <c r="A25" s="44">
        <v>23</v>
      </c>
      <c r="B25" s="46">
        <f>SUM(B3:B6)</f>
        <v>48000000</v>
      </c>
      <c r="C25" s="27"/>
      <c r="D25" s="46">
        <f>SUM(D3:D6)</f>
        <v>240000000</v>
      </c>
      <c r="E25" s="46">
        <f>SUM(E3:E6)</f>
        <v>192000000</v>
      </c>
      <c r="F25" s="46">
        <f>SUM(F3:F6)</f>
        <v>480000000</v>
      </c>
      <c r="G25" s="46">
        <f>SUM(G3:G24)</f>
        <v>3222585000</v>
      </c>
      <c r="H25" s="50">
        <f>SUM(H3:H24)</f>
        <v>1425000000</v>
      </c>
      <c r="I25" s="46">
        <f>SUM(I4:I8)</f>
        <v>52800000</v>
      </c>
      <c r="J25" s="17"/>
      <c r="K25" s="3"/>
      <c r="L25" s="45"/>
      <c r="M25" s="29"/>
      <c r="N25" s="49">
        <f>SUM(N6:N24)</f>
        <v>1361269600</v>
      </c>
      <c r="O25" s="30"/>
      <c r="P25" s="30"/>
      <c r="Q25" s="3"/>
      <c r="R25" s="23"/>
      <c r="S25" s="47"/>
      <c r="T25" s="31"/>
    </row>
    <row r="26" spans="1:20" s="1" customFormat="1" ht="15.75" x14ac:dyDescent="0.25">
      <c r="A26" s="44">
        <v>24</v>
      </c>
      <c r="B26" s="25"/>
      <c r="C26" s="3"/>
      <c r="D26" s="17"/>
      <c r="E26" s="17"/>
      <c r="F26" s="17"/>
      <c r="G26" s="24"/>
      <c r="H26" s="3"/>
      <c r="I26" s="28"/>
      <c r="K26" s="3"/>
      <c r="L26" s="45"/>
      <c r="O26" s="30"/>
      <c r="P26" s="30"/>
      <c r="Q26" s="3"/>
      <c r="R26" s="23"/>
      <c r="S26" s="31"/>
      <c r="T26" s="3"/>
    </row>
    <row r="27" spans="1:20" s="1" customFormat="1" x14ac:dyDescent="0.25">
      <c r="A27" s="44"/>
      <c r="B27" s="25"/>
      <c r="C27" s="3"/>
      <c r="D27" s="17"/>
      <c r="E27" s="17"/>
      <c r="F27" s="3"/>
      <c r="G27" s="39"/>
      <c r="H27" s="3"/>
      <c r="I27" s="3"/>
      <c r="J27" s="32" t="s">
        <v>32</v>
      </c>
      <c r="K27" s="32"/>
      <c r="L27" s="32" t="s">
        <v>33</v>
      </c>
      <c r="M27" s="32" t="s">
        <v>32</v>
      </c>
      <c r="N27" s="32"/>
      <c r="O27" s="30"/>
      <c r="P27" s="30"/>
      <c r="Q27" s="3"/>
      <c r="R27" s="23"/>
      <c r="S27" s="33"/>
      <c r="T27" s="32" t="s">
        <v>35</v>
      </c>
    </row>
    <row r="28" spans="1:20" s="1" customFormat="1" ht="15.75" x14ac:dyDescent="0.25">
      <c r="A28" s="44"/>
      <c r="B28" s="25"/>
      <c r="C28" s="3"/>
      <c r="D28" s="17"/>
      <c r="E28" s="17"/>
      <c r="F28" s="3"/>
      <c r="G28" s="39"/>
      <c r="H28" s="3"/>
      <c r="I28" s="3"/>
      <c r="J28" s="34">
        <f>IRR(J3:J24)</f>
        <v>0.1579612775848469</v>
      </c>
      <c r="K28" s="35"/>
      <c r="L28" s="35">
        <f>SUM(L6:L24)</f>
        <v>179093000</v>
      </c>
      <c r="M28" s="34">
        <f>IRR(M3:M23)</f>
        <v>0.14563860935816142</v>
      </c>
      <c r="N28" s="34"/>
      <c r="O28" s="30"/>
      <c r="P28" s="30"/>
      <c r="Q28" s="3"/>
      <c r="R28" s="36"/>
      <c r="S28" s="37"/>
      <c r="T28" s="35">
        <f>SUM(T3:T24)</f>
        <v>1820941777.4888251</v>
      </c>
    </row>
    <row r="29" spans="1:20" s="1" customFormat="1" x14ac:dyDescent="0.25">
      <c r="A29" s="44"/>
      <c r="B29" s="25"/>
      <c r="C29" s="3"/>
      <c r="D29" s="17"/>
      <c r="E29" s="17"/>
      <c r="F29" s="3"/>
      <c r="G29" s="17"/>
      <c r="H29" s="3"/>
      <c r="I29" s="3"/>
      <c r="K29" s="3"/>
      <c r="L29" s="32" t="s">
        <v>37</v>
      </c>
      <c r="O29" s="30"/>
      <c r="P29" s="30"/>
      <c r="Q29" s="3"/>
      <c r="R29" s="23"/>
      <c r="S29" s="37"/>
      <c r="T29" s="3"/>
    </row>
    <row r="30" spans="1:20" s="1" customFormat="1" x14ac:dyDescent="0.25">
      <c r="A30" s="44"/>
      <c r="B30" s="25"/>
      <c r="C30" s="3"/>
      <c r="D30" s="17"/>
      <c r="E30" s="17"/>
      <c r="F30" s="3"/>
      <c r="G30" s="39"/>
      <c r="H30" s="3"/>
      <c r="I30" s="3"/>
      <c r="K30" s="3"/>
      <c r="L30" s="35">
        <f>SUM(L6:L16)</f>
        <v>81413000</v>
      </c>
      <c r="M30" s="47"/>
      <c r="N30" s="47"/>
      <c r="O30" s="30"/>
      <c r="P30" s="30"/>
      <c r="Q30" s="3"/>
      <c r="R30" s="23"/>
      <c r="S30" s="38"/>
      <c r="T30" s="32" t="s">
        <v>36</v>
      </c>
    </row>
    <row r="31" spans="1:20" s="1" customFormat="1" x14ac:dyDescent="0.25">
      <c r="A31" s="44"/>
      <c r="B31" s="25"/>
      <c r="C31" s="3"/>
      <c r="D31" s="17"/>
      <c r="E31" s="17"/>
      <c r="F31" s="3"/>
      <c r="G31" s="39"/>
      <c r="H31" s="3"/>
      <c r="I31" s="3"/>
      <c r="K31" s="3"/>
      <c r="L31" s="45"/>
      <c r="O31" s="30"/>
      <c r="P31" s="30"/>
      <c r="Q31" s="3"/>
      <c r="R31" s="23"/>
      <c r="T31" s="35">
        <f>SUM(T3:T14)</f>
        <v>-2289673042.1973262</v>
      </c>
    </row>
    <row r="32" spans="1:20" s="1" customFormat="1" x14ac:dyDescent="0.25">
      <c r="A32" s="44"/>
      <c r="B32" s="25"/>
      <c r="C32" s="3"/>
      <c r="D32" s="17"/>
      <c r="E32" s="17"/>
      <c r="F32" s="27"/>
      <c r="G32" s="24"/>
      <c r="H32" s="3"/>
      <c r="I32" s="3"/>
      <c r="J32" s="32"/>
      <c r="K32" s="3"/>
      <c r="L32" s="45"/>
      <c r="O32" s="30"/>
      <c r="P32" s="30"/>
      <c r="Q32" s="3"/>
      <c r="R32" s="23"/>
      <c r="T32" s="3"/>
    </row>
    <row r="33" spans="1:20" s="1" customFormat="1" ht="15.75" x14ac:dyDescent="0.25">
      <c r="A33" s="44"/>
      <c r="B33" s="25"/>
      <c r="C33" s="44"/>
      <c r="D33" s="17"/>
      <c r="E33" s="17"/>
      <c r="F33" s="27"/>
      <c r="G33" s="24"/>
      <c r="H33" s="44"/>
      <c r="I33" s="44"/>
      <c r="J33" s="34"/>
      <c r="K33" s="44"/>
      <c r="L33" s="45"/>
      <c r="O33" s="30"/>
      <c r="P33" s="30"/>
      <c r="Q33" s="44"/>
      <c r="R33" s="23"/>
      <c r="T33" s="44"/>
    </row>
    <row r="34" spans="1:20" s="1" customFormat="1" ht="15.75" x14ac:dyDescent="0.25">
      <c r="A34" s="44"/>
      <c r="B34" s="3"/>
      <c r="C34" s="3"/>
      <c r="D34" s="17"/>
      <c r="E34" s="17"/>
      <c r="F34" s="3"/>
      <c r="G34" s="24"/>
      <c r="H34" s="3"/>
      <c r="I34" s="3"/>
      <c r="J34" s="34"/>
      <c r="K34" s="3"/>
      <c r="L34" s="45"/>
      <c r="O34" s="30"/>
      <c r="P34" s="30"/>
      <c r="Q34" s="3"/>
      <c r="R34" s="23"/>
      <c r="T34" s="3"/>
    </row>
    <row r="35" spans="1:20" s="1" customFormat="1" x14ac:dyDescent="0.25">
      <c r="A35" s="44"/>
      <c r="B35" s="3"/>
      <c r="C35" s="3"/>
      <c r="D35" s="3"/>
      <c r="E35" s="3"/>
      <c r="F35" s="3"/>
      <c r="G35" s="24"/>
      <c r="H35" s="3"/>
      <c r="I35" s="3"/>
      <c r="K35" s="3"/>
      <c r="L35" s="45"/>
      <c r="O35" s="30"/>
      <c r="P35" s="30"/>
      <c r="Q35" s="3"/>
      <c r="R35" s="23"/>
      <c r="T35" s="3"/>
    </row>
    <row r="36" spans="1:20" s="1" customFormat="1" x14ac:dyDescent="0.25">
      <c r="A36" s="44"/>
      <c r="B36" s="3"/>
      <c r="C36" s="3"/>
      <c r="D36" s="3"/>
      <c r="E36" s="3"/>
      <c r="F36" s="3"/>
      <c r="G36" s="24"/>
      <c r="H36" s="3"/>
      <c r="I36" s="3"/>
      <c r="K36" s="3"/>
      <c r="L36" s="45"/>
      <c r="O36" s="30"/>
      <c r="P36" s="30"/>
      <c r="Q36" s="3"/>
      <c r="R36" s="23"/>
      <c r="T36" s="3"/>
    </row>
    <row r="37" spans="1:20" s="1" customFormat="1" x14ac:dyDescent="0.25">
      <c r="A37" s="44"/>
      <c r="B37" s="3"/>
      <c r="C37" s="3"/>
      <c r="D37" s="3"/>
      <c r="E37" s="3"/>
      <c r="F37" s="3"/>
      <c r="G37" s="24"/>
      <c r="H37" s="3"/>
      <c r="I37" s="3"/>
      <c r="K37" s="3"/>
      <c r="L37" s="45"/>
      <c r="O37" s="30"/>
      <c r="P37" s="30"/>
      <c r="Q37" s="3"/>
      <c r="R37" s="23"/>
      <c r="T37" s="3"/>
    </row>
    <row r="38" spans="1:20" s="1" customFormat="1" x14ac:dyDescent="0.25">
      <c r="A38" s="44"/>
      <c r="B38" s="3"/>
      <c r="C38" s="3"/>
      <c r="D38" s="3"/>
      <c r="E38" s="3"/>
      <c r="F38" s="3"/>
      <c r="G38" s="24"/>
      <c r="H38" s="3"/>
      <c r="I38" s="3"/>
      <c r="K38" s="3"/>
      <c r="L38" s="45"/>
      <c r="O38" s="30"/>
      <c r="P38" s="30"/>
      <c r="Q38" s="3"/>
      <c r="R38" s="23"/>
      <c r="T38" s="3"/>
    </row>
    <row r="39" spans="1:20" s="1" customFormat="1" x14ac:dyDescent="0.25">
      <c r="A39" s="44"/>
      <c r="B39" s="3"/>
      <c r="C39" s="3"/>
      <c r="D39" s="3"/>
      <c r="E39" s="3"/>
      <c r="F39" s="3"/>
      <c r="G39" s="39"/>
      <c r="H39" s="3"/>
      <c r="I39" s="3"/>
      <c r="K39" s="3"/>
      <c r="L39" s="45"/>
      <c r="O39" s="30"/>
      <c r="P39" s="30"/>
      <c r="Q39" s="3"/>
      <c r="R39" s="23"/>
      <c r="T39" s="3"/>
    </row>
    <row r="40" spans="1:20" s="1" customFormat="1" x14ac:dyDescent="0.25">
      <c r="A40" s="44"/>
      <c r="B40" s="3"/>
      <c r="C40" s="3"/>
      <c r="D40" s="3"/>
      <c r="E40" s="3"/>
      <c r="F40" s="3"/>
      <c r="G40" s="39"/>
      <c r="H40" s="3"/>
      <c r="I40" s="3"/>
      <c r="K40" s="3"/>
      <c r="L40" s="45"/>
      <c r="O40" s="30"/>
      <c r="P40" s="30"/>
      <c r="Q40" s="3"/>
      <c r="R40" s="23"/>
      <c r="T40" s="3"/>
    </row>
    <row r="41" spans="1:20" s="1" customFormat="1" x14ac:dyDescent="0.25">
      <c r="A41" s="44"/>
      <c r="B41" s="3"/>
      <c r="C41" s="3"/>
      <c r="D41" s="3"/>
      <c r="E41" s="3"/>
      <c r="F41" s="3"/>
      <c r="G41" s="39"/>
      <c r="H41" s="3"/>
      <c r="I41" s="3"/>
      <c r="K41" s="3"/>
      <c r="L41" s="45"/>
      <c r="O41" s="30"/>
      <c r="P41" s="30"/>
      <c r="Q41" s="3"/>
      <c r="R41" s="23"/>
      <c r="T41" s="3"/>
    </row>
    <row r="42" spans="1:20" s="1" customFormat="1" x14ac:dyDescent="0.25">
      <c r="A42" s="44"/>
      <c r="B42" s="3"/>
      <c r="C42" s="3"/>
      <c r="D42" s="3"/>
      <c r="E42" s="3"/>
      <c r="F42" s="3"/>
      <c r="G42" s="39"/>
      <c r="H42" s="3"/>
      <c r="I42" s="3"/>
      <c r="K42" s="3"/>
      <c r="L42" s="45"/>
      <c r="O42" s="30"/>
      <c r="P42" s="30"/>
      <c r="Q42" s="3"/>
      <c r="R42" s="23"/>
      <c r="T42" s="3"/>
    </row>
    <row r="43" spans="1:20" s="1" customFormat="1" x14ac:dyDescent="0.25">
      <c r="A43" s="3"/>
      <c r="B43" s="3"/>
      <c r="C43" s="3"/>
      <c r="D43" s="3"/>
      <c r="E43" s="3"/>
      <c r="F43" s="3"/>
      <c r="G43" s="39"/>
      <c r="H43" s="3"/>
      <c r="I43" s="3"/>
      <c r="K43" s="3"/>
      <c r="L43" s="45"/>
      <c r="O43" s="30"/>
      <c r="P43" s="30"/>
      <c r="Q43" s="3"/>
      <c r="R43" s="23"/>
      <c r="T43" s="3"/>
    </row>
    <row r="44" spans="1:20" s="1" customFormat="1" x14ac:dyDescent="0.25">
      <c r="A44" s="3"/>
      <c r="B44" s="3"/>
      <c r="C44" s="3"/>
      <c r="D44" s="3"/>
      <c r="E44" s="3"/>
      <c r="F44" s="3"/>
      <c r="G44" s="39"/>
      <c r="H44" s="3"/>
      <c r="I44" s="3"/>
      <c r="K44" s="3"/>
      <c r="L44" s="45"/>
      <c r="O44" s="30"/>
      <c r="P44" s="30"/>
      <c r="Q44" s="3"/>
      <c r="R44" s="23"/>
      <c r="T44" s="3"/>
    </row>
    <row r="45" spans="1:20" s="1" customFormat="1" x14ac:dyDescent="0.25">
      <c r="A45" s="3"/>
      <c r="B45" s="3"/>
      <c r="C45" s="3"/>
      <c r="D45" s="3"/>
      <c r="E45" s="3"/>
      <c r="F45" s="3"/>
      <c r="G45" s="39"/>
      <c r="H45" s="3"/>
      <c r="I45" s="3"/>
      <c r="K45" s="3"/>
      <c r="L45" s="45"/>
      <c r="O45" s="30"/>
      <c r="P45" s="30"/>
      <c r="Q45" s="3"/>
      <c r="R45" s="23"/>
      <c r="T45" s="3"/>
    </row>
    <row r="46" spans="1:20" s="1" customFormat="1" x14ac:dyDescent="0.25">
      <c r="A46" s="3"/>
      <c r="B46" s="3"/>
      <c r="C46" s="3"/>
      <c r="D46" s="3"/>
      <c r="E46" s="3"/>
      <c r="F46" s="3"/>
      <c r="G46" s="39"/>
      <c r="H46" s="3"/>
      <c r="I46" s="3"/>
      <c r="K46" s="3"/>
      <c r="L46" s="45"/>
      <c r="O46" s="30"/>
      <c r="P46" s="30"/>
      <c r="Q46" s="3"/>
      <c r="R46" s="23"/>
      <c r="T46" s="3"/>
    </row>
    <row r="47" spans="1:20" s="1" customFormat="1" x14ac:dyDescent="0.25">
      <c r="A47" s="3"/>
      <c r="B47" s="3"/>
      <c r="C47" s="3"/>
      <c r="D47" s="3"/>
      <c r="E47" s="3"/>
      <c r="F47" s="3"/>
      <c r="G47" s="39"/>
      <c r="H47" s="3"/>
      <c r="I47" s="3"/>
      <c r="K47" s="3"/>
      <c r="L47" s="45"/>
      <c r="O47" s="30"/>
      <c r="P47" s="30"/>
      <c r="Q47" s="3"/>
      <c r="R47" s="23"/>
      <c r="T47" s="3"/>
    </row>
    <row r="48" spans="1:20" s="1" customFormat="1" x14ac:dyDescent="0.25">
      <c r="A48" s="3"/>
      <c r="B48" s="3"/>
      <c r="C48" s="3"/>
      <c r="D48" s="3"/>
      <c r="E48" s="3"/>
      <c r="F48" s="3"/>
      <c r="G48" s="39"/>
      <c r="H48" s="3"/>
      <c r="I48" s="3"/>
      <c r="K48" s="3"/>
      <c r="L48" s="45"/>
      <c r="O48" s="30"/>
      <c r="P48" s="30"/>
      <c r="Q48" s="3"/>
      <c r="R48" s="23"/>
      <c r="T48" s="3"/>
    </row>
    <row r="49" spans="1:20" s="1" customFormat="1" x14ac:dyDescent="0.25">
      <c r="A49" s="3"/>
      <c r="B49" s="3"/>
      <c r="C49" s="3"/>
      <c r="D49" s="3"/>
      <c r="E49" s="3"/>
      <c r="F49" s="3"/>
      <c r="G49" s="39"/>
      <c r="H49" s="3"/>
      <c r="I49" s="3"/>
      <c r="K49" s="3"/>
      <c r="L49" s="45"/>
      <c r="O49" s="30"/>
      <c r="P49" s="30"/>
      <c r="Q49" s="3"/>
      <c r="R49" s="23"/>
      <c r="T49" s="3"/>
    </row>
    <row r="50" spans="1:20" s="1" customFormat="1" x14ac:dyDescent="0.25">
      <c r="A50" s="3"/>
      <c r="B50" s="3"/>
      <c r="C50" s="3"/>
      <c r="D50" s="3"/>
      <c r="E50" s="3"/>
      <c r="F50" s="3"/>
      <c r="G50" s="39"/>
      <c r="H50" s="3"/>
      <c r="I50" s="3"/>
      <c r="K50" s="3"/>
      <c r="L50" s="45"/>
      <c r="O50" s="30"/>
      <c r="P50" s="30"/>
      <c r="Q50" s="3"/>
      <c r="R50" s="23"/>
      <c r="T50" s="3"/>
    </row>
    <row r="51" spans="1:20" s="1" customFormat="1" x14ac:dyDescent="0.25">
      <c r="A51" s="3"/>
      <c r="B51" s="3"/>
      <c r="C51" s="3"/>
      <c r="D51" s="3"/>
      <c r="E51" s="3"/>
      <c r="F51" s="3"/>
      <c r="G51" s="39"/>
      <c r="H51" s="3"/>
      <c r="I51" s="3"/>
      <c r="K51" s="3"/>
      <c r="L51" s="45"/>
      <c r="O51" s="30"/>
      <c r="P51" s="30"/>
      <c r="Q51" s="3"/>
      <c r="R51" s="23"/>
      <c r="T51" s="3"/>
    </row>
    <row r="52" spans="1:20" s="1" customFormat="1" x14ac:dyDescent="0.25">
      <c r="A52" s="3"/>
      <c r="B52" s="3"/>
      <c r="C52" s="3"/>
      <c r="D52" s="3"/>
      <c r="E52" s="3"/>
      <c r="F52" s="3"/>
      <c r="G52" s="39"/>
      <c r="H52" s="3"/>
      <c r="I52" s="3"/>
      <c r="K52" s="3"/>
      <c r="L52" s="45"/>
      <c r="O52" s="30"/>
      <c r="P52" s="30"/>
      <c r="Q52" s="3"/>
      <c r="R52" s="23"/>
      <c r="T52" s="3"/>
    </row>
    <row r="53" spans="1:20" x14ac:dyDescent="0.25">
      <c r="G53" s="3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Хар-ки проекта ГАЭСВЭ-Береговое</vt:lpstr>
      <vt:lpstr>Параметры ГАЭСВЭ-Береговое</vt:lpstr>
      <vt:lpstr>Финмодель ГАЭСВЭ-Береговое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Анатолий Ильюша</dc:creator>
  <cp:lastModifiedBy>Анатолий Ильюша</cp:lastModifiedBy>
  <dcterms:created xsi:type="dcterms:W3CDTF">2018-04-21T09:44:44Z</dcterms:created>
  <dcterms:modified xsi:type="dcterms:W3CDTF">2020-06-05T18:50:48Z</dcterms:modified>
</cp:coreProperties>
</file>