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атолий Ильюша\Desktop\"/>
    </mc:Choice>
  </mc:AlternateContent>
  <xr:revisionPtr revIDLastSave="0" documentId="13_ncr:1_{7C7D6435-3C87-4FF3-9A40-AD100523B73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Хар-ки  ЭТК &quot;ЗК&quot; Щелкино  " sheetId="2" r:id="rId1"/>
    <sheet name="Параметры ЭТК &quot;ЗК&quot; Щелкино" sheetId="3" r:id="rId2"/>
    <sheet name="Финмодель ЭТК &quot;ЗК&quot; Щелкино " sheetId="1" r:id="rId3"/>
    <sheet name="Лист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B3" i="1"/>
  <c r="B3" i="3" l="1"/>
  <c r="D3" i="3" s="1"/>
  <c r="F25" i="1" l="1"/>
  <c r="D2" i="3" l="1"/>
  <c r="G6" i="1" l="1"/>
  <c r="G5" i="1"/>
  <c r="D4" i="3"/>
  <c r="H25" i="1"/>
  <c r="B4" i="1"/>
  <c r="B5" i="1"/>
  <c r="B6" i="1"/>
  <c r="D3" i="1"/>
  <c r="J3" i="1" s="1"/>
  <c r="D4" i="1"/>
  <c r="D5" i="1"/>
  <c r="D6" i="1"/>
  <c r="G11" i="1" l="1"/>
  <c r="G15" i="1"/>
  <c r="G19" i="1"/>
  <c r="G23" i="1"/>
  <c r="G8" i="1"/>
  <c r="G12" i="1"/>
  <c r="G16" i="1"/>
  <c r="G20" i="1"/>
  <c r="G24" i="1"/>
  <c r="G9" i="1"/>
  <c r="G13" i="1"/>
  <c r="G17" i="1"/>
  <c r="G21" i="1"/>
  <c r="G7" i="1"/>
  <c r="G10" i="1"/>
  <c r="G14" i="1"/>
  <c r="G18" i="1"/>
  <c r="G22" i="1"/>
  <c r="B25" i="1"/>
  <c r="E6" i="1"/>
  <c r="D25" i="1"/>
  <c r="E5" i="1"/>
  <c r="E4" i="1"/>
  <c r="E3" i="1"/>
  <c r="J4" i="1"/>
  <c r="E25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M4" i="1" l="1"/>
  <c r="J5" i="1" l="1"/>
  <c r="L5" i="1" s="1"/>
  <c r="J9" i="1"/>
  <c r="L9" i="1" s="1"/>
  <c r="J12" i="1"/>
  <c r="L12" i="1" s="1"/>
  <c r="A4" i="1"/>
  <c r="Q3" i="1"/>
  <c r="R3" i="1" s="1"/>
  <c r="A5" i="1" l="1"/>
  <c r="R4" i="1"/>
  <c r="S4" i="1" s="1"/>
  <c r="J21" i="1"/>
  <c r="J19" i="1"/>
  <c r="J15" i="1"/>
  <c r="J20" i="1"/>
  <c r="J22" i="1"/>
  <c r="J13" i="1"/>
  <c r="J16" i="1"/>
  <c r="J10" i="1"/>
  <c r="J17" i="1"/>
  <c r="J24" i="1"/>
  <c r="J18" i="1"/>
  <c r="J11" i="1"/>
  <c r="J23" i="1"/>
  <c r="J14" i="1"/>
  <c r="G25" i="1"/>
  <c r="M9" i="1"/>
  <c r="M12" i="1"/>
  <c r="M5" i="1"/>
  <c r="M3" i="1"/>
  <c r="S3" i="1" s="1"/>
  <c r="A6" i="1" l="1"/>
  <c r="R5" i="1"/>
  <c r="S5" i="1" s="1"/>
  <c r="N12" i="1"/>
  <c r="L11" i="1"/>
  <c r="M11" i="1"/>
  <c r="L19" i="1"/>
  <c r="M19" i="1"/>
  <c r="L10" i="1"/>
  <c r="M10" i="1"/>
  <c r="L13" i="1"/>
  <c r="M13" i="1"/>
  <c r="L24" i="1"/>
  <c r="M24" i="1"/>
  <c r="L14" i="1"/>
  <c r="M14" i="1"/>
  <c r="L20" i="1"/>
  <c r="M20" i="1"/>
  <c r="N9" i="1"/>
  <c r="L23" i="1"/>
  <c r="M23" i="1"/>
  <c r="L18" i="1"/>
  <c r="M18" i="1"/>
  <c r="L17" i="1"/>
  <c r="M17" i="1"/>
  <c r="L16" i="1"/>
  <c r="M16" i="1"/>
  <c r="L22" i="1"/>
  <c r="M22" i="1"/>
  <c r="L15" i="1"/>
  <c r="M15" i="1"/>
  <c r="L21" i="1"/>
  <c r="M21" i="1"/>
  <c r="N13" i="1" l="1"/>
  <c r="A7" i="1"/>
  <c r="R6" i="1"/>
  <c r="N21" i="1"/>
  <c r="N22" i="1"/>
  <c r="N17" i="1"/>
  <c r="N23" i="1"/>
  <c r="N19" i="1"/>
  <c r="N15" i="1"/>
  <c r="N18" i="1"/>
  <c r="N14" i="1"/>
  <c r="N16" i="1"/>
  <c r="N20" i="1"/>
  <c r="N24" i="1"/>
  <c r="N10" i="1"/>
  <c r="N11" i="1"/>
  <c r="T3" i="1"/>
  <c r="R7" i="1" l="1"/>
  <c r="A8" i="1"/>
  <c r="T4" i="1"/>
  <c r="T5" i="1" s="1"/>
  <c r="R8" i="1" l="1"/>
  <c r="A9" i="1"/>
  <c r="I8" i="1"/>
  <c r="J8" i="1" s="1"/>
  <c r="L8" i="1" s="1"/>
  <c r="I7" i="1"/>
  <c r="J7" i="1" s="1"/>
  <c r="L7" i="1" s="1"/>
  <c r="R9" i="1" l="1"/>
  <c r="S9" i="1" s="1"/>
  <c r="A10" i="1"/>
  <c r="M8" i="1"/>
  <c r="S8" i="1" s="1"/>
  <c r="M7" i="1"/>
  <c r="S7" i="1" s="1"/>
  <c r="I6" i="1"/>
  <c r="I25" i="1" s="1"/>
  <c r="R10" i="1" l="1"/>
  <c r="S10" i="1" s="1"/>
  <c r="A11" i="1"/>
  <c r="N8" i="1"/>
  <c r="N7" i="1"/>
  <c r="J6" i="1"/>
  <c r="A12" i="1" l="1"/>
  <c r="R11" i="1"/>
  <c r="S11" i="1" s="1"/>
  <c r="M6" i="1"/>
  <c r="L6" i="1"/>
  <c r="J28" i="1"/>
  <c r="R12" i="1" l="1"/>
  <c r="S12" i="1" s="1"/>
  <c r="A13" i="1"/>
  <c r="L28" i="1"/>
  <c r="N6" i="1"/>
  <c r="N25" i="1" s="1"/>
  <c r="L30" i="1"/>
  <c r="M28" i="1"/>
  <c r="S6" i="1"/>
  <c r="T6" i="1" s="1"/>
  <c r="A14" i="1" l="1"/>
  <c r="R13" i="1"/>
  <c r="S13" i="1" s="1"/>
  <c r="T7" i="1"/>
  <c r="T8" i="1" s="1"/>
  <c r="T9" i="1" s="1"/>
  <c r="T10" i="1" s="1"/>
  <c r="T11" i="1" s="1"/>
  <c r="T12" i="1" s="1"/>
  <c r="T13" i="1" l="1"/>
  <c r="A15" i="1"/>
  <c r="R14" i="1"/>
  <c r="S14" i="1" s="1"/>
  <c r="T14" i="1" l="1"/>
  <c r="T31" i="1"/>
  <c r="A16" i="1"/>
  <c r="R15" i="1"/>
  <c r="S15" i="1" s="1"/>
  <c r="T15" i="1" s="1"/>
  <c r="A17" i="1" l="1"/>
  <c r="R16" i="1"/>
  <c r="S16" i="1" s="1"/>
  <c r="T16" i="1" s="1"/>
  <c r="A18" i="1" l="1"/>
  <c r="R17" i="1"/>
  <c r="S17" i="1" s="1"/>
  <c r="T17" i="1" s="1"/>
  <c r="A19" i="1" l="1"/>
  <c r="R18" i="1"/>
  <c r="S18" i="1" s="1"/>
  <c r="T18" i="1" s="1"/>
  <c r="A20" i="1" l="1"/>
  <c r="R19" i="1"/>
  <c r="S19" i="1" s="1"/>
  <c r="T19" i="1" s="1"/>
  <c r="A21" i="1" l="1"/>
  <c r="R20" i="1"/>
  <c r="S20" i="1" s="1"/>
  <c r="T20" i="1" s="1"/>
  <c r="A22" i="1" l="1"/>
  <c r="R21" i="1"/>
  <c r="S21" i="1" s="1"/>
  <c r="T21" i="1" s="1"/>
  <c r="A23" i="1" l="1"/>
  <c r="R22" i="1"/>
  <c r="S22" i="1" s="1"/>
  <c r="T22" i="1" s="1"/>
  <c r="R23" i="1" l="1"/>
  <c r="S23" i="1" s="1"/>
  <c r="T23" i="1" s="1"/>
  <c r="A24" i="1"/>
  <c r="R24" i="1" s="1"/>
  <c r="S24" i="1" s="1"/>
  <c r="T24" i="1" l="1"/>
  <c r="T28" i="1" s="1"/>
</calcChain>
</file>

<file path=xl/sharedStrings.xml><?xml version="1.0" encoding="utf-8"?>
<sst xmlns="http://schemas.openxmlformats.org/spreadsheetml/2006/main" count="53" uniqueCount="50">
  <si>
    <t>Годовая выручка, руб./год</t>
  </si>
  <si>
    <t>Год</t>
  </si>
  <si>
    <t>Займ (кредит), руб.</t>
  </si>
  <si>
    <t>Доля займа, %</t>
  </si>
  <si>
    <t>K(t), руб.</t>
  </si>
  <si>
    <t>Выручка, руб.</t>
  </si>
  <si>
    <t>Эксплуатац. расходы</t>
  </si>
  <si>
    <t>Платежи по кредиту, руб.</t>
  </si>
  <si>
    <t xml:space="preserve">  Операц. прибыль (EBIT), руб.</t>
  </si>
  <si>
    <t>Налоговые изьятия</t>
  </si>
  <si>
    <t>Ставка диск.</t>
  </si>
  <si>
    <t>Субсид.проц.ст.</t>
  </si>
  <si>
    <t>Мин.проц. ставка</t>
  </si>
  <si>
    <t>Коэф. дисконтир.</t>
  </si>
  <si>
    <t>ЧДД (t) по годам</t>
  </si>
  <si>
    <t>ЧДД нараст итогом</t>
  </si>
  <si>
    <t>t</t>
  </si>
  <si>
    <t>З, руб.</t>
  </si>
  <si>
    <t>З, %</t>
  </si>
  <si>
    <t>А,руб.</t>
  </si>
  <si>
    <t>R(t), руб.</t>
  </si>
  <si>
    <t>Э(.), руб.в год</t>
  </si>
  <si>
    <t>З+%, руб.</t>
  </si>
  <si>
    <t>ОП, руб.</t>
  </si>
  <si>
    <t>%</t>
  </si>
  <si>
    <t>R(t)-K(t)-Э(t), руб.</t>
  </si>
  <si>
    <t>Велич.субсид.</t>
  </si>
  <si>
    <t>Расч.ставка Е</t>
  </si>
  <si>
    <t>1/((1+E)**(A2-1))</t>
  </si>
  <si>
    <t>ЧДД (t), руб.</t>
  </si>
  <si>
    <t>Сумма  ЧДД(t), руб.</t>
  </si>
  <si>
    <t>ВНД=</t>
  </si>
  <si>
    <t>Налоговые поступления</t>
  </si>
  <si>
    <t>NPV=</t>
  </si>
  <si>
    <t>NPV(10)=</t>
  </si>
  <si>
    <t>Налогов. Поступл.(10)</t>
  </si>
  <si>
    <t>Совокупная добавленная стоимость</t>
  </si>
  <si>
    <t>Пресная  вода на 1-й стадии проекта,   м куб./сутки</t>
  </si>
  <si>
    <t>Бюджетн.ср-ва проекта, руб.</t>
  </si>
  <si>
    <t>Акционерн. ср-ва, руб.</t>
  </si>
  <si>
    <t xml:space="preserve">Начало строительства - 2021 г.  Ввод в действие  и  начало опытно-промышленной  эксплуатации-2024 г. </t>
  </si>
  <si>
    <t>Тариф на "продажу", руб.</t>
  </si>
  <si>
    <t>Продукция ПЭБОС</t>
  </si>
  <si>
    <t>Продукция подземной  ГАЭС</t>
  </si>
  <si>
    <t>Электрическая энергия подземной ГАЭС, кВтч/сутки</t>
  </si>
  <si>
    <t xml:space="preserve">  "Чистая" прибыль </t>
  </si>
  <si>
    <r>
      <rPr>
        <b/>
        <sz val="14"/>
        <color theme="9" tint="-0.249977111117893"/>
        <rFont val="Calibri"/>
        <family val="2"/>
        <charset val="204"/>
        <scheme val="minor"/>
      </rPr>
      <t>Основные инициаторы  и  исполнители  проекта: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20"/>
        <color rgb="FF00B050"/>
        <rFont val="Calibri"/>
        <family val="2"/>
        <charset val="204"/>
        <scheme val="minor"/>
      </rPr>
      <t>ООО  "ППГ  "Газводбуд", ООО  "Техноподземэнерго", АО  "Мособлгидропроект" и другие  организации и предприятия.</t>
    </r>
  </si>
  <si>
    <t>ООО "ППГ  "Газводбуд" - ООО "Техноподземэнерго"-2020</t>
  </si>
  <si>
    <r>
      <rPr>
        <b/>
        <i/>
        <sz val="14"/>
        <color theme="3"/>
        <rFont val="Calibri"/>
        <family val="2"/>
        <charset val="204"/>
        <scheme val="minor"/>
      </rPr>
      <t xml:space="preserve">Цель (описание) проекта: </t>
    </r>
    <r>
      <rPr>
        <b/>
        <sz val="14"/>
        <color theme="3"/>
        <rFont val="Calibri"/>
        <family val="2"/>
        <charset val="204"/>
        <scheme val="minor"/>
      </rPr>
      <t xml:space="preserve"> Разработка и создание   на территории городского округа Керчь и Ленинского  района Республики Крым в рамках  проекта  Минстроя  России  «Умный город» высоко эффективной системы (комплекса) производства, аккумулирования и поставки электроэнергии и  пресной воды (водоэнергоснабжения) путем опреснения морской воды на основе безуглеродных возобновляемых экологически чистых генерирующих источников электрической энергии в виде ветряных, солнечных и гидроаккумулирующих электрических станций (ВЭС, СЭС и ГАЭС соответственно) для 1-й стадии реализации проекта. </t>
    </r>
  </si>
  <si>
    <t xml:space="preserve">Основные финансово-экономические показатели 1-й стадии проекта (базовый сценарий):                                                                                                                                                                                                                           Объем инвестиций (стоимость проекта), млн. руб.     -    4000,0
Чистая приведенная стоимость (NPV), млн. руб.          -   4779,0
Внутренняя норма доходности проекта (IRR), %          -   13
Дисконтированный срок окупаемости проекта, лет   -    11
Количество создаваемых рабочих мест, чел.                 -  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</si>
</sst>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"/>
    <numFmt numFmtId="167" formatCode="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4"/>
      <color theme="3"/>
      <name val="Calibri"/>
      <family val="2"/>
      <charset val="204"/>
      <scheme val="minor"/>
    </font>
    <font>
      <sz val="10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color rgb="FF00B050"/>
      <name val="Arial Cyr"/>
      <charset val="204"/>
    </font>
    <font>
      <b/>
      <sz val="11"/>
      <color rgb="FF0070C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2"/>
      <color rgb="FF00B050"/>
      <name val="Arial Cyr"/>
      <charset val="204"/>
    </font>
    <font>
      <b/>
      <sz val="11"/>
      <color theme="9" tint="-0.249977111117893"/>
      <name val="Arial"/>
      <family val="2"/>
      <charset val="204"/>
    </font>
    <font>
      <b/>
      <sz val="10"/>
      <name val="Arial Cyr"/>
      <charset val="204"/>
    </font>
    <font>
      <b/>
      <sz val="12"/>
      <color rgb="FFFF0000"/>
      <name val="Arial Cyr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20"/>
      <color rgb="FF00B05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9" tint="-0.249977111117893"/>
      <name val="Times New Roman"/>
      <family val="1"/>
      <charset val="204"/>
    </font>
    <font>
      <b/>
      <sz val="14"/>
      <color theme="9" tint="-0.249977111117893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4" borderId="0" xfId="0" applyNumberFormat="1" applyFont="1" applyFill="1" applyAlignment="1">
      <alignment horizontal="center"/>
    </xf>
    <xf numFmtId="2" fontId="10" fillId="5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7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65" fontId="14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9" fillId="0" borderId="0" xfId="0" applyNumberFormat="1" applyFont="1" applyFill="1" applyAlignment="1">
      <alignment horizontal="center"/>
    </xf>
    <xf numFmtId="165" fontId="1" fillId="0" borderId="0" xfId="0" applyNumberFormat="1" applyFont="1"/>
    <xf numFmtId="4" fontId="10" fillId="5" borderId="0" xfId="0" applyNumberFormat="1" applyFont="1" applyFill="1" applyAlignment="1">
      <alignment horizontal="center"/>
    </xf>
    <xf numFmtId="165" fontId="17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2" fillId="0" borderId="0" xfId="0" applyFont="1" applyAlignment="1">
      <alignment horizontal="left" wrapText="1" indent="1"/>
    </xf>
    <xf numFmtId="0" fontId="1" fillId="0" borderId="0" xfId="0" applyFont="1" applyAlignment="1">
      <alignment horizontal="center"/>
    </xf>
    <xf numFmtId="4" fontId="25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1" applyFont="1" applyAlignment="1">
      <alignment horizontal="center" vertical="center" wrapText="1"/>
    </xf>
    <xf numFmtId="0" fontId="6" fillId="0" borderId="1" xfId="1" applyFont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Заголовок 1" xfId="1" builtin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Финансовый профиль</a:t>
            </a:r>
            <a:r>
              <a:rPr lang="ru-RU" sz="20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1-й  стадии проекта  Щелкинский  энерготехнологический комплекс  </a:t>
            </a:r>
            <a:r>
              <a:rPr lang="ru-RU" sz="2000" b="1" baseline="0">
                <a:solidFill>
                  <a:schemeClr val="accent6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"зеленый квадрат"  </a:t>
            </a:r>
            <a:endParaRPr lang="ru-RU" sz="2000" b="1">
              <a:solidFill>
                <a:schemeClr val="accent6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823073989584184"/>
          <c:y val="0.1544910078430001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498433390185063E-2"/>
          <c:y val="0.10474642297806595"/>
          <c:w val="0.93050156660981498"/>
          <c:h val="0.888554643819003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'Финмодель ЭТК "ЗК" Щелкино '!$S$3:$S$24</c:f>
              <c:numCache>
                <c:formatCode>#\ ##0.0</c:formatCode>
                <c:ptCount val="22"/>
                <c:pt idx="0">
                  <c:v>-200000000</c:v>
                </c:pt>
                <c:pt idx="1">
                  <c:v>-1091346153.8461537</c:v>
                </c:pt>
                <c:pt idx="2">
                  <c:v>-657493528.10650885</c:v>
                </c:pt>
                <c:pt idx="3">
                  <c:v>-174861138.76877561</c:v>
                </c:pt>
                <c:pt idx="4">
                  <c:v>345395600.64423507</c:v>
                </c:pt>
                <c:pt idx="5">
                  <c:v>379491142.53475344</c:v>
                </c:pt>
                <c:pt idx="6">
                  <c:v>350100641.43867153</c:v>
                </c:pt>
                <c:pt idx="7">
                  <c:v>336635232.15256882</c:v>
                </c:pt>
                <c:pt idx="8">
                  <c:v>323687723.22362381</c:v>
                </c:pt>
                <c:pt idx="9">
                  <c:v>311238195.40733051</c:v>
                </c:pt>
                <c:pt idx="10">
                  <c:v>299267495.58397168</c:v>
                </c:pt>
                <c:pt idx="11">
                  <c:v>287757207.2922805</c:v>
                </c:pt>
                <c:pt idx="12">
                  <c:v>276689622.39642346</c:v>
                </c:pt>
                <c:pt idx="13">
                  <c:v>266047713.84271488</c:v>
                </c:pt>
                <c:pt idx="14">
                  <c:v>255815109.46414894</c:v>
                </c:pt>
                <c:pt idx="15">
                  <c:v>245976066.79245088</c:v>
                </c:pt>
                <c:pt idx="16">
                  <c:v>236515448.83889502</c:v>
                </c:pt>
                <c:pt idx="17">
                  <c:v>227418700.80662984</c:v>
                </c:pt>
                <c:pt idx="18">
                  <c:v>218671827.69868252</c:v>
                </c:pt>
                <c:pt idx="19">
                  <c:v>210261372.78719473</c:v>
                </c:pt>
                <c:pt idx="20">
                  <c:v>202174396.91076416</c:v>
                </c:pt>
                <c:pt idx="21">
                  <c:v>194398458.56804243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7-47FB-9359-3486C1F59BE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'Финмодель ЭТК "ЗК" Щелкино '!$T$3:$T$24</c:f>
              <c:numCache>
                <c:formatCode>#\ ##0.0</c:formatCode>
                <c:ptCount val="22"/>
                <c:pt idx="0">
                  <c:v>-200000000</c:v>
                </c:pt>
                <c:pt idx="1">
                  <c:v>-1291346153.8461537</c:v>
                </c:pt>
                <c:pt idx="2">
                  <c:v>-1948839681.9526625</c:v>
                </c:pt>
                <c:pt idx="3">
                  <c:v>-2123700820.7214382</c:v>
                </c:pt>
                <c:pt idx="4">
                  <c:v>-1778305220.077203</c:v>
                </c:pt>
                <c:pt idx="5">
                  <c:v>-1398814077.5424495</c:v>
                </c:pt>
                <c:pt idx="6">
                  <c:v>-1048713436.1037779</c:v>
                </c:pt>
                <c:pt idx="7">
                  <c:v>-712078203.95120907</c:v>
                </c:pt>
                <c:pt idx="8">
                  <c:v>-388390480.72758526</c:v>
                </c:pt>
                <c:pt idx="9">
                  <c:v>-77152285.320254743</c:v>
                </c:pt>
                <c:pt idx="10">
                  <c:v>222115210.26371694</c:v>
                </c:pt>
                <c:pt idx="11">
                  <c:v>509872417.55599743</c:v>
                </c:pt>
                <c:pt idx="12">
                  <c:v>786562039.95242095</c:v>
                </c:pt>
                <c:pt idx="13">
                  <c:v>1052609753.7951359</c:v>
                </c:pt>
                <c:pt idx="14">
                  <c:v>1308424863.2592847</c:v>
                </c:pt>
                <c:pt idx="15">
                  <c:v>1554400930.0517356</c:v>
                </c:pt>
                <c:pt idx="16">
                  <c:v>1790916378.8906307</c:v>
                </c:pt>
                <c:pt idx="17">
                  <c:v>2018335079.6972606</c:v>
                </c:pt>
                <c:pt idx="18">
                  <c:v>2237006907.3959432</c:v>
                </c:pt>
                <c:pt idx="19">
                  <c:v>2447268280.1831379</c:v>
                </c:pt>
                <c:pt idx="20">
                  <c:v>2649442677.0939021</c:v>
                </c:pt>
                <c:pt idx="21">
                  <c:v>2843841135.6619444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7-47FB-9359-3486C1F59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661504"/>
        <c:axId val="58663680"/>
      </c:barChart>
      <c:catAx>
        <c:axId val="58661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20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Годы  жизненного цикла  проекта</a:t>
                </a:r>
              </a:p>
            </c:rich>
          </c:tx>
          <c:layout>
            <c:manualLayout>
              <c:xMode val="edge"/>
              <c:yMode val="edge"/>
              <c:x val="0.39469709278247717"/>
              <c:y val="0.8744687814635222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663680"/>
        <c:crosses val="autoZero"/>
        <c:auto val="1"/>
        <c:lblAlgn val="ctr"/>
        <c:lblOffset val="100"/>
        <c:noMultiLvlLbl val="0"/>
      </c:catAx>
      <c:valAx>
        <c:axId val="586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ЧДД, руб</a:t>
                </a:r>
                <a:r>
                  <a:rPr lang="ru-RU"/>
                  <a:t>.</a:t>
                </a:r>
              </a:p>
            </c:rich>
          </c:tx>
          <c:layout>
            <c:manualLayout>
              <c:xMode val="edge"/>
              <c:yMode val="edge"/>
              <c:x val="2.808777263004146E-2"/>
              <c:y val="0.51211579690175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6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1023937</xdr:colOff>
      <xdr:row>34</xdr:row>
      <xdr:rowOff>136085</xdr:rowOff>
    </xdr:from>
    <xdr:to>
      <xdr:col>17</xdr:col>
      <xdr:colOff>-1</xdr:colOff>
      <xdr:row>89</xdr:row>
      <xdr:rowOff>71437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27CD6102-7B7A-438D-B59B-46E9ED072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zoomScaleNormal="100" workbookViewId="0">
      <selection activeCell="C21" sqref="C21"/>
    </sheetView>
  </sheetViews>
  <sheetFormatPr defaultRowHeight="15" x14ac:dyDescent="0.25"/>
  <cols>
    <col min="1" max="1" width="9.140625" style="1" customWidth="1"/>
    <col min="2" max="12" width="9.140625" style="1"/>
    <col min="13" max="13" width="10.42578125" style="1" customWidth="1"/>
    <col min="14" max="14" width="52.5703125" style="1" customWidth="1"/>
    <col min="15" max="16384" width="9.140625" style="1"/>
  </cols>
  <sheetData>
    <row r="1" spans="1:15" ht="50.25" customHeight="1" x14ac:dyDescent="0.25">
      <c r="A1" s="57" t="s">
        <v>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66" customHeight="1" thickBot="1" x14ac:dyDescent="0.3">
      <c r="A2" s="59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ht="96" customHeight="1" thickTop="1" thickBot="1" x14ac:dyDescent="0.3">
      <c r="A3" s="60" t="s">
        <v>48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5" ht="116.25" customHeight="1" thickTop="1" x14ac:dyDescent="0.25">
      <c r="A4" s="61" t="s">
        <v>49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30.75" customHeight="1" x14ac:dyDescent="0.25">
      <c r="A5" s="63" t="s">
        <v>40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2"/>
    </row>
    <row r="6" spans="1:15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</sheetData>
  <mergeCells count="6">
    <mergeCell ref="A6:N6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topLeftCell="B1" zoomScale="120" zoomScaleNormal="120" workbookViewId="0">
      <selection activeCell="D4" sqref="D4"/>
    </sheetView>
  </sheetViews>
  <sheetFormatPr defaultRowHeight="15" x14ac:dyDescent="0.25"/>
  <cols>
    <col min="1" max="1" width="38.5703125" style="1" customWidth="1"/>
    <col min="2" max="2" width="35.28515625" style="3" customWidth="1"/>
    <col min="3" max="3" width="31.140625" style="3" customWidth="1"/>
    <col min="4" max="4" width="33.5703125" style="5" customWidth="1"/>
  </cols>
  <sheetData>
    <row r="1" spans="1:4" s="52" customFormat="1" ht="18.75" x14ac:dyDescent="0.3">
      <c r="A1" s="51" t="s">
        <v>42</v>
      </c>
      <c r="B1" s="51" t="s">
        <v>43</v>
      </c>
      <c r="C1" s="51" t="s">
        <v>41</v>
      </c>
      <c r="D1" s="51" t="s">
        <v>0</v>
      </c>
    </row>
    <row r="2" spans="1:4" ht="32.25" customHeight="1" x14ac:dyDescent="0.25">
      <c r="A2" s="53" t="s">
        <v>37</v>
      </c>
      <c r="B2" s="50">
        <v>1200</v>
      </c>
      <c r="C2" s="41">
        <v>45</v>
      </c>
      <c r="D2" s="42">
        <f>B2*C2*365</f>
        <v>19710000</v>
      </c>
    </row>
    <row r="3" spans="1:4" ht="31.5" x14ac:dyDescent="0.25">
      <c r="A3" s="53" t="s">
        <v>44</v>
      </c>
      <c r="B3" s="50">
        <f>25000*24*0.5</f>
        <v>300000</v>
      </c>
      <c r="C3" s="41">
        <v>5</v>
      </c>
      <c r="D3" s="42">
        <f>B3*C3*365</f>
        <v>547500000</v>
      </c>
    </row>
    <row r="4" spans="1:4" ht="18.75" x14ac:dyDescent="0.25">
      <c r="D4" s="55">
        <f>SUM(D2:D3)</f>
        <v>567210000</v>
      </c>
    </row>
    <row r="5" spans="1:4" x14ac:dyDescent="0.25">
      <c r="C5" s="4"/>
    </row>
    <row r="11" spans="1:4" x14ac:dyDescent="0.25">
      <c r="B11" s="4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3"/>
  <sheetViews>
    <sheetView topLeftCell="C1" zoomScale="40" zoomScaleNormal="40" workbookViewId="0">
      <selection activeCell="C19" sqref="C19"/>
    </sheetView>
  </sheetViews>
  <sheetFormatPr defaultRowHeight="15" x14ac:dyDescent="0.25"/>
  <cols>
    <col min="2" max="2" width="18.28515625" customWidth="1"/>
    <col min="3" max="3" width="18.5703125" customWidth="1"/>
    <col min="4" max="4" width="26.140625" customWidth="1"/>
    <col min="5" max="5" width="22.85546875" customWidth="1"/>
    <col min="6" max="6" width="21.5703125" customWidth="1"/>
    <col min="7" max="7" width="29.85546875" style="39" customWidth="1"/>
    <col min="8" max="8" width="21" customWidth="1"/>
    <col min="9" max="9" width="25.140625" customWidth="1"/>
    <col min="10" max="10" width="27.85546875" customWidth="1"/>
    <col min="11" max="12" width="27" customWidth="1"/>
    <col min="13" max="13" width="31.28515625" customWidth="1"/>
    <col min="14" max="14" width="33.28515625" customWidth="1"/>
    <col min="15" max="15" width="18.28515625" customWidth="1"/>
    <col min="16" max="16" width="18.140625" customWidth="1"/>
    <col min="17" max="17" width="18.42578125" customWidth="1"/>
    <col min="18" max="18" width="18.140625" customWidth="1"/>
    <col min="19" max="19" width="18.28515625" customWidth="1"/>
    <col min="20" max="20" width="36.140625" customWidth="1"/>
  </cols>
  <sheetData>
    <row r="1" spans="1:20" s="1" customFormat="1" x14ac:dyDescent="0.25">
      <c r="A1" s="6" t="s">
        <v>1</v>
      </c>
      <c r="B1" s="6" t="s">
        <v>2</v>
      </c>
      <c r="C1" s="6" t="s">
        <v>3</v>
      </c>
      <c r="D1" s="6" t="s">
        <v>38</v>
      </c>
      <c r="E1" s="6" t="s">
        <v>39</v>
      </c>
      <c r="F1" s="6" t="s">
        <v>4</v>
      </c>
      <c r="G1" s="6" t="s">
        <v>5</v>
      </c>
      <c r="H1" s="6" t="s">
        <v>6</v>
      </c>
      <c r="I1" s="6" t="s">
        <v>7</v>
      </c>
      <c r="J1" s="7" t="s">
        <v>8</v>
      </c>
      <c r="K1" s="6" t="s">
        <v>9</v>
      </c>
      <c r="L1" s="6" t="s">
        <v>32</v>
      </c>
      <c r="M1" s="6" t="s">
        <v>45</v>
      </c>
      <c r="N1" s="6" t="s">
        <v>36</v>
      </c>
      <c r="O1" s="8" t="s">
        <v>10</v>
      </c>
      <c r="P1" s="8" t="s">
        <v>11</v>
      </c>
      <c r="Q1" s="6" t="s">
        <v>12</v>
      </c>
      <c r="R1" s="9" t="s">
        <v>13</v>
      </c>
      <c r="S1" s="6" t="s">
        <v>14</v>
      </c>
      <c r="T1" s="6" t="s">
        <v>15</v>
      </c>
    </row>
    <row r="2" spans="1:20" s="1" customFormat="1" x14ac:dyDescent="0.25">
      <c r="A2" s="10" t="s">
        <v>16</v>
      </c>
      <c r="B2" s="10" t="s">
        <v>17</v>
      </c>
      <c r="C2" s="10" t="s">
        <v>18</v>
      </c>
      <c r="D2" s="10"/>
      <c r="E2" s="10" t="s">
        <v>19</v>
      </c>
      <c r="F2" s="10" t="s">
        <v>4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/>
      <c r="M2" s="10" t="s">
        <v>25</v>
      </c>
      <c r="N2" s="10"/>
      <c r="O2" s="11"/>
      <c r="P2" s="11" t="s">
        <v>26</v>
      </c>
      <c r="Q2" s="10" t="s">
        <v>27</v>
      </c>
      <c r="R2" s="12" t="s">
        <v>28</v>
      </c>
      <c r="S2" s="10" t="s">
        <v>29</v>
      </c>
      <c r="T2" s="10" t="s">
        <v>30</v>
      </c>
    </row>
    <row r="3" spans="1:20" s="1" customFormat="1" x14ac:dyDescent="0.25">
      <c r="A3" s="3">
        <v>1</v>
      </c>
      <c r="B3" s="13">
        <f>F3*C3</f>
        <v>20000000</v>
      </c>
      <c r="C3" s="14">
        <v>0.05</v>
      </c>
      <c r="D3" s="13">
        <f>F3*0.5</f>
        <v>200000000</v>
      </c>
      <c r="E3" s="15">
        <f>D3-B3</f>
        <v>180000000</v>
      </c>
      <c r="F3" s="16">
        <v>400000000</v>
      </c>
      <c r="G3" s="17">
        <v>0</v>
      </c>
      <c r="H3" s="18"/>
      <c r="I3" s="13"/>
      <c r="J3" s="16">
        <f>G3-F3-H3-I3+D3</f>
        <v>-200000000</v>
      </c>
      <c r="K3" s="19">
        <v>0</v>
      </c>
      <c r="L3" s="19"/>
      <c r="M3" s="16">
        <f>J3-(J3*K3)</f>
        <v>-200000000</v>
      </c>
      <c r="N3" s="16"/>
      <c r="O3" s="20">
        <v>0.12</v>
      </c>
      <c r="P3" s="21">
        <v>0.08</v>
      </c>
      <c r="Q3" s="17">
        <f>O3-P3</f>
        <v>3.9999999999999994E-2</v>
      </c>
      <c r="R3" s="22">
        <f>1/(POWER(1+Q3,A3-1))</f>
        <v>1</v>
      </c>
      <c r="S3" s="16">
        <f>M3*R3</f>
        <v>-200000000</v>
      </c>
      <c r="T3" s="16">
        <f>SUM(T2,S3)</f>
        <v>-200000000</v>
      </c>
    </row>
    <row r="4" spans="1:20" s="1" customFormat="1" x14ac:dyDescent="0.25">
      <c r="A4" s="3">
        <f t="shared" ref="A4:A24" si="0">SUM(1,A3)</f>
        <v>2</v>
      </c>
      <c r="B4" s="13">
        <f t="shared" ref="B4:B6" si="1">F4*C4</f>
        <v>111000000</v>
      </c>
      <c r="C4" s="14">
        <v>0.05</v>
      </c>
      <c r="D4" s="13">
        <f t="shared" ref="D4:D6" si="2">F4*0.5</f>
        <v>1110000000</v>
      </c>
      <c r="E4" s="15">
        <f t="shared" ref="E4:E6" si="3">D4-B4</f>
        <v>999000000</v>
      </c>
      <c r="F4" s="16">
        <v>2220000000</v>
      </c>
      <c r="G4" s="17">
        <v>0</v>
      </c>
      <c r="H4" s="18">
        <v>25000000</v>
      </c>
      <c r="I4" s="13"/>
      <c r="J4" s="16">
        <f>G4-F4-H4-I4+D4</f>
        <v>-1135000000</v>
      </c>
      <c r="K4" s="19">
        <v>0</v>
      </c>
      <c r="L4" s="19"/>
      <c r="M4" s="16">
        <f t="shared" ref="M4:M24" si="4">J4-(J4*K4)</f>
        <v>-1135000000</v>
      </c>
      <c r="N4" s="16"/>
      <c r="O4" s="20">
        <v>0.12</v>
      </c>
      <c r="P4" s="21">
        <v>0.08</v>
      </c>
      <c r="Q4" s="17">
        <f t="shared" ref="Q4:Q24" si="5">O4-P4</f>
        <v>3.9999999999999994E-2</v>
      </c>
      <c r="R4" s="22">
        <f t="shared" ref="R4:R24" si="6">1/(POWER(1+Q4,A4-1))</f>
        <v>0.96153846153846145</v>
      </c>
      <c r="S4" s="16">
        <f t="shared" ref="S4:S24" si="7">M4*R4</f>
        <v>-1091346153.8461537</v>
      </c>
      <c r="T4" s="16">
        <f t="shared" ref="T4:T24" si="8">SUM(T3,S4)</f>
        <v>-1291346153.8461537</v>
      </c>
    </row>
    <row r="5" spans="1:20" s="1" customFormat="1" x14ac:dyDescent="0.25">
      <c r="A5" s="3">
        <f t="shared" si="0"/>
        <v>3</v>
      </c>
      <c r="B5" s="13">
        <f t="shared" si="1"/>
        <v>65000000</v>
      </c>
      <c r="C5" s="14">
        <v>0.05</v>
      </c>
      <c r="D5" s="13">
        <f t="shared" si="2"/>
        <v>650000000</v>
      </c>
      <c r="E5" s="15">
        <f t="shared" si="3"/>
        <v>585000000</v>
      </c>
      <c r="F5" s="16">
        <v>1300000000</v>
      </c>
      <c r="G5" s="23">
        <f>'Параметры ЭТК "ЗК" Щелкино'!D$2/2</f>
        <v>9855000</v>
      </c>
      <c r="H5" s="18">
        <v>50000000</v>
      </c>
      <c r="I5" s="25">
        <f>B3+(B3*C3)</f>
        <v>21000000</v>
      </c>
      <c r="J5" s="16">
        <f>G5-F5-H5-I5+D5</f>
        <v>-711145000</v>
      </c>
      <c r="K5" s="19">
        <v>0</v>
      </c>
      <c r="L5" s="19">
        <f>(K5*J5)</f>
        <v>0</v>
      </c>
      <c r="M5" s="16">
        <f t="shared" si="4"/>
        <v>-711145000</v>
      </c>
      <c r="N5" s="16"/>
      <c r="O5" s="20">
        <v>0.12</v>
      </c>
      <c r="P5" s="21">
        <v>0.08</v>
      </c>
      <c r="Q5" s="17">
        <f t="shared" si="5"/>
        <v>3.9999999999999994E-2</v>
      </c>
      <c r="R5" s="22">
        <f t="shared" si="6"/>
        <v>0.92455621301775137</v>
      </c>
      <c r="S5" s="16">
        <f t="shared" si="7"/>
        <v>-657493528.10650885</v>
      </c>
      <c r="T5" s="16">
        <f t="shared" si="8"/>
        <v>-1948839681.9526625</v>
      </c>
    </row>
    <row r="6" spans="1:20" s="1" customFormat="1" x14ac:dyDescent="0.25">
      <c r="A6" s="3">
        <f t="shared" si="0"/>
        <v>4</v>
      </c>
      <c r="B6" s="13">
        <f t="shared" si="1"/>
        <v>4000000</v>
      </c>
      <c r="C6" s="14">
        <v>0.05</v>
      </c>
      <c r="D6" s="13">
        <f t="shared" si="2"/>
        <v>40000000</v>
      </c>
      <c r="E6" s="15">
        <f t="shared" si="3"/>
        <v>36000000</v>
      </c>
      <c r="F6" s="16">
        <v>80000000</v>
      </c>
      <c r="G6" s="23">
        <f>'Параметры ЭТК "ЗК" Щелкино'!D$2/2</f>
        <v>9855000</v>
      </c>
      <c r="H6" s="18">
        <v>50000000</v>
      </c>
      <c r="I6" s="25">
        <f t="shared" ref="I6:I8" si="9">B4+(B4*C4)</f>
        <v>116550000</v>
      </c>
      <c r="J6" s="16">
        <f>G6-F6-H6-I6+D6</f>
        <v>-196695000</v>
      </c>
      <c r="K6" s="19">
        <v>0</v>
      </c>
      <c r="L6" s="47">
        <f>(K6*J6)</f>
        <v>0</v>
      </c>
      <c r="M6" s="16">
        <f t="shared" si="4"/>
        <v>-196695000</v>
      </c>
      <c r="N6" s="16">
        <f>(G6-(H6+L6+0.2*M6))</f>
        <v>-806000</v>
      </c>
      <c r="O6" s="20">
        <v>0.12</v>
      </c>
      <c r="P6" s="21">
        <v>0.08</v>
      </c>
      <c r="Q6" s="17">
        <f t="shared" si="5"/>
        <v>3.9999999999999994E-2</v>
      </c>
      <c r="R6" s="22">
        <f t="shared" si="6"/>
        <v>0.88899635867091487</v>
      </c>
      <c r="S6" s="16">
        <f t="shared" si="7"/>
        <v>-174861138.76877561</v>
      </c>
      <c r="T6" s="16">
        <f t="shared" si="8"/>
        <v>-2123700820.7214382</v>
      </c>
    </row>
    <row r="7" spans="1:20" s="1" customFormat="1" x14ac:dyDescent="0.25">
      <c r="A7" s="3">
        <f t="shared" si="0"/>
        <v>5</v>
      </c>
      <c r="B7" s="24"/>
      <c r="C7" s="16"/>
      <c r="D7" s="16"/>
      <c r="E7" s="24"/>
      <c r="F7" s="16"/>
      <c r="G7" s="23">
        <f>'Параметры ЭТК "ЗК" Щелкино'!D$4</f>
        <v>567210000</v>
      </c>
      <c r="H7" s="18">
        <v>50000000</v>
      </c>
      <c r="I7" s="25">
        <f t="shared" si="9"/>
        <v>68250000</v>
      </c>
      <c r="J7" s="16">
        <f>G7-F7-H7-I7+D7</f>
        <v>448960000</v>
      </c>
      <c r="K7" s="19">
        <v>0.1</v>
      </c>
      <c r="L7" s="47">
        <f t="shared" ref="L7:L24" si="10">(K7*J7)</f>
        <v>44896000</v>
      </c>
      <c r="M7" s="16">
        <f t="shared" si="4"/>
        <v>404064000</v>
      </c>
      <c r="N7" s="16">
        <f t="shared" ref="N7:N24" si="11">(G7-(H7+L7+0.2*M7))</f>
        <v>391501200</v>
      </c>
      <c r="O7" s="20">
        <v>0.12</v>
      </c>
      <c r="P7" s="21">
        <v>0.08</v>
      </c>
      <c r="Q7" s="17">
        <f t="shared" si="5"/>
        <v>3.9999999999999994E-2</v>
      </c>
      <c r="R7" s="22">
        <f t="shared" si="6"/>
        <v>0.85480419102972571</v>
      </c>
      <c r="S7" s="16">
        <f t="shared" si="7"/>
        <v>345395600.64423507</v>
      </c>
      <c r="T7" s="16">
        <f t="shared" si="8"/>
        <v>-1778305220.077203</v>
      </c>
    </row>
    <row r="8" spans="1:20" s="1" customFormat="1" x14ac:dyDescent="0.25">
      <c r="A8" s="3">
        <f t="shared" si="0"/>
        <v>6</v>
      </c>
      <c r="B8" s="24"/>
      <c r="C8" s="16"/>
      <c r="D8" s="16"/>
      <c r="E8" s="16"/>
      <c r="F8" s="16"/>
      <c r="G8" s="23">
        <f>'Параметры ЭТК "ЗК" Щелкино'!D$4</f>
        <v>567210000</v>
      </c>
      <c r="H8" s="18">
        <v>50000000</v>
      </c>
      <c r="I8" s="25">
        <f t="shared" si="9"/>
        <v>4200000</v>
      </c>
      <c r="J8" s="16">
        <f t="shared" ref="J8:J24" si="12">G8-F8-H8-I8+D8</f>
        <v>513010000</v>
      </c>
      <c r="K8" s="19">
        <v>0.1</v>
      </c>
      <c r="L8" s="47">
        <f t="shared" si="10"/>
        <v>51301000</v>
      </c>
      <c r="M8" s="16">
        <f t="shared" si="4"/>
        <v>461709000</v>
      </c>
      <c r="N8" s="16">
        <f t="shared" si="11"/>
        <v>373567200</v>
      </c>
      <c r="O8" s="20">
        <v>0.12</v>
      </c>
      <c r="P8" s="21">
        <v>0.08</v>
      </c>
      <c r="Q8" s="17">
        <f t="shared" si="5"/>
        <v>3.9999999999999994E-2</v>
      </c>
      <c r="R8" s="22">
        <f t="shared" si="6"/>
        <v>0.82192710675935154</v>
      </c>
      <c r="S8" s="16">
        <f t="shared" si="7"/>
        <v>379491142.53475344</v>
      </c>
      <c r="T8" s="16">
        <f t="shared" si="8"/>
        <v>-1398814077.5424495</v>
      </c>
    </row>
    <row r="9" spans="1:20" s="1" customFormat="1" x14ac:dyDescent="0.25">
      <c r="A9" s="3">
        <f t="shared" si="0"/>
        <v>7</v>
      </c>
      <c r="B9" s="24"/>
      <c r="C9" s="16"/>
      <c r="D9" s="16"/>
      <c r="E9" s="16"/>
      <c r="F9" s="16"/>
      <c r="G9" s="23">
        <f>'Параметры ЭТК "ЗК" Щелкино'!D$4</f>
        <v>567210000</v>
      </c>
      <c r="H9" s="18">
        <v>75000000</v>
      </c>
      <c r="I9" s="25"/>
      <c r="J9" s="16">
        <f t="shared" si="12"/>
        <v>492210000</v>
      </c>
      <c r="K9" s="19">
        <v>0.1</v>
      </c>
      <c r="L9" s="47">
        <f t="shared" si="10"/>
        <v>49221000</v>
      </c>
      <c r="M9" s="16">
        <f t="shared" si="4"/>
        <v>442989000</v>
      </c>
      <c r="N9" s="16">
        <f t="shared" si="11"/>
        <v>354391200</v>
      </c>
      <c r="O9" s="20">
        <v>0.12</v>
      </c>
      <c r="P9" s="21">
        <v>0.08</v>
      </c>
      <c r="Q9" s="17">
        <f t="shared" si="5"/>
        <v>3.9999999999999994E-2</v>
      </c>
      <c r="R9" s="22">
        <f t="shared" si="6"/>
        <v>0.79031452573014571</v>
      </c>
      <c r="S9" s="16">
        <f t="shared" si="7"/>
        <v>350100641.43867153</v>
      </c>
      <c r="T9" s="16">
        <f t="shared" si="8"/>
        <v>-1048713436.1037779</v>
      </c>
    </row>
    <row r="10" spans="1:20" s="1" customFormat="1" x14ac:dyDescent="0.25">
      <c r="A10" s="3">
        <f t="shared" si="0"/>
        <v>8</v>
      </c>
      <c r="B10" s="24"/>
      <c r="C10" s="16"/>
      <c r="D10" s="16"/>
      <c r="E10" s="16"/>
      <c r="F10" s="16"/>
      <c r="G10" s="23">
        <f>'Параметры ЭТК "ЗК" Щелкино'!D$4</f>
        <v>567210000</v>
      </c>
      <c r="H10" s="18">
        <v>75000000</v>
      </c>
      <c r="I10" s="25"/>
      <c r="J10" s="16">
        <f t="shared" si="12"/>
        <v>492210000</v>
      </c>
      <c r="K10" s="19">
        <v>0.1</v>
      </c>
      <c r="L10" s="47">
        <f t="shared" si="10"/>
        <v>49221000</v>
      </c>
      <c r="M10" s="16">
        <f t="shared" si="4"/>
        <v>442989000</v>
      </c>
      <c r="N10" s="16">
        <f t="shared" si="11"/>
        <v>354391200</v>
      </c>
      <c r="O10" s="20">
        <v>0.12</v>
      </c>
      <c r="P10" s="21">
        <v>0.08</v>
      </c>
      <c r="Q10" s="17">
        <f t="shared" si="5"/>
        <v>3.9999999999999994E-2</v>
      </c>
      <c r="R10" s="22">
        <f t="shared" si="6"/>
        <v>0.75991781320206331</v>
      </c>
      <c r="S10" s="16">
        <f t="shared" si="7"/>
        <v>336635232.15256882</v>
      </c>
      <c r="T10" s="16">
        <f t="shared" si="8"/>
        <v>-712078203.95120907</v>
      </c>
    </row>
    <row r="11" spans="1:20" s="1" customFormat="1" x14ac:dyDescent="0.25">
      <c r="A11" s="43">
        <f t="shared" si="0"/>
        <v>9</v>
      </c>
      <c r="B11" s="24"/>
      <c r="C11" s="16"/>
      <c r="D11" s="16"/>
      <c r="E11" s="16"/>
      <c r="F11" s="16"/>
      <c r="G11" s="23">
        <f>'Параметры ЭТК "ЗК" Щелкино'!D$4</f>
        <v>567210000</v>
      </c>
      <c r="H11" s="18">
        <v>75000000</v>
      </c>
      <c r="I11" s="25"/>
      <c r="J11" s="16">
        <f t="shared" si="12"/>
        <v>492210000</v>
      </c>
      <c r="K11" s="19">
        <v>0.1</v>
      </c>
      <c r="L11" s="47">
        <f t="shared" si="10"/>
        <v>49221000</v>
      </c>
      <c r="M11" s="16">
        <f t="shared" si="4"/>
        <v>442989000</v>
      </c>
      <c r="N11" s="16">
        <f t="shared" si="11"/>
        <v>354391200</v>
      </c>
      <c r="O11" s="20">
        <v>0.12</v>
      </c>
      <c r="P11" s="21">
        <v>0.08</v>
      </c>
      <c r="Q11" s="17">
        <f t="shared" si="5"/>
        <v>3.9999999999999994E-2</v>
      </c>
      <c r="R11" s="22">
        <f t="shared" si="6"/>
        <v>0.73069020500198378</v>
      </c>
      <c r="S11" s="16">
        <f t="shared" si="7"/>
        <v>323687723.22362381</v>
      </c>
      <c r="T11" s="16">
        <f t="shared" si="8"/>
        <v>-388390480.72758526</v>
      </c>
    </row>
    <row r="12" spans="1:20" s="1" customFormat="1" x14ac:dyDescent="0.25">
      <c r="A12" s="43">
        <f t="shared" si="0"/>
        <v>10</v>
      </c>
      <c r="B12" s="24"/>
      <c r="C12" s="16"/>
      <c r="D12" s="16"/>
      <c r="E12" s="16"/>
      <c r="F12" s="16"/>
      <c r="G12" s="23">
        <f>'Параметры ЭТК "ЗК" Щелкино'!D$4</f>
        <v>567210000</v>
      </c>
      <c r="H12" s="18">
        <v>75000000</v>
      </c>
      <c r="I12" s="25"/>
      <c r="J12" s="16">
        <f t="shared" si="12"/>
        <v>492210000</v>
      </c>
      <c r="K12" s="19">
        <v>0.1</v>
      </c>
      <c r="L12" s="47">
        <f t="shared" si="10"/>
        <v>49221000</v>
      </c>
      <c r="M12" s="16">
        <f t="shared" si="4"/>
        <v>442989000</v>
      </c>
      <c r="N12" s="16">
        <f t="shared" si="11"/>
        <v>354391200</v>
      </c>
      <c r="O12" s="20">
        <v>0.12</v>
      </c>
      <c r="P12" s="21">
        <v>0.08</v>
      </c>
      <c r="Q12" s="17">
        <f t="shared" si="5"/>
        <v>3.9999999999999994E-2</v>
      </c>
      <c r="R12" s="22">
        <f t="shared" si="6"/>
        <v>0.70258673557883045</v>
      </c>
      <c r="S12" s="16">
        <f t="shared" si="7"/>
        <v>311238195.40733051</v>
      </c>
      <c r="T12" s="16">
        <f t="shared" si="8"/>
        <v>-77152285.320254743</v>
      </c>
    </row>
    <row r="13" spans="1:20" s="1" customFormat="1" x14ac:dyDescent="0.25">
      <c r="A13" s="43">
        <f t="shared" si="0"/>
        <v>11</v>
      </c>
      <c r="B13" s="24"/>
      <c r="C13" s="16"/>
      <c r="D13" s="16"/>
      <c r="E13" s="16"/>
      <c r="F13" s="16"/>
      <c r="G13" s="23">
        <f>'Параметры ЭТК "ЗК" Щелкино'!D$4</f>
        <v>567210000</v>
      </c>
      <c r="H13" s="18">
        <v>75000000</v>
      </c>
      <c r="I13" s="25"/>
      <c r="J13" s="16">
        <f t="shared" si="12"/>
        <v>492210000</v>
      </c>
      <c r="K13" s="19">
        <v>0.1</v>
      </c>
      <c r="L13" s="47">
        <f t="shared" si="10"/>
        <v>49221000</v>
      </c>
      <c r="M13" s="16">
        <f t="shared" si="4"/>
        <v>442989000</v>
      </c>
      <c r="N13" s="16">
        <f t="shared" si="11"/>
        <v>354391200</v>
      </c>
      <c r="O13" s="20">
        <v>0.12</v>
      </c>
      <c r="P13" s="21">
        <v>0.08</v>
      </c>
      <c r="Q13" s="17">
        <f t="shared" si="5"/>
        <v>3.9999999999999994E-2</v>
      </c>
      <c r="R13" s="22">
        <f t="shared" si="6"/>
        <v>0.67556416882579851</v>
      </c>
      <c r="S13" s="16">
        <f t="shared" si="7"/>
        <v>299267495.58397168</v>
      </c>
      <c r="T13" s="16">
        <f t="shared" si="8"/>
        <v>222115210.26371694</v>
      </c>
    </row>
    <row r="14" spans="1:20" s="1" customFormat="1" x14ac:dyDescent="0.25">
      <c r="A14" s="43">
        <f t="shared" si="0"/>
        <v>12</v>
      </c>
      <c r="B14" s="24"/>
      <c r="C14" s="16"/>
      <c r="D14" s="16"/>
      <c r="E14" s="16"/>
      <c r="F14" s="16"/>
      <c r="G14" s="23">
        <f>'Параметры ЭТК "ЗК" Щелкино'!D$4</f>
        <v>567210000</v>
      </c>
      <c r="H14" s="18">
        <v>75000000</v>
      </c>
      <c r="I14" s="25"/>
      <c r="J14" s="16">
        <f t="shared" si="12"/>
        <v>492210000</v>
      </c>
      <c r="K14" s="19">
        <v>0.1</v>
      </c>
      <c r="L14" s="47">
        <f t="shared" si="10"/>
        <v>49221000</v>
      </c>
      <c r="M14" s="16">
        <f t="shared" si="4"/>
        <v>442989000</v>
      </c>
      <c r="N14" s="16">
        <f t="shared" si="11"/>
        <v>354391200</v>
      </c>
      <c r="O14" s="20">
        <v>0.12</v>
      </c>
      <c r="P14" s="21">
        <v>0.08</v>
      </c>
      <c r="Q14" s="17">
        <f t="shared" si="5"/>
        <v>3.9999999999999994E-2</v>
      </c>
      <c r="R14" s="22">
        <f t="shared" si="6"/>
        <v>0.6495809315632679</v>
      </c>
      <c r="S14" s="16">
        <f t="shared" si="7"/>
        <v>287757207.2922805</v>
      </c>
      <c r="T14" s="16">
        <f t="shared" si="8"/>
        <v>509872417.55599743</v>
      </c>
    </row>
    <row r="15" spans="1:20" s="1" customFormat="1" x14ac:dyDescent="0.25">
      <c r="A15" s="43">
        <f t="shared" si="0"/>
        <v>13</v>
      </c>
      <c r="B15" s="24"/>
      <c r="C15" s="16"/>
      <c r="D15" s="16"/>
      <c r="E15" s="16"/>
      <c r="F15" s="16"/>
      <c r="G15" s="23">
        <f>'Параметры ЭТК "ЗК" Щелкино'!D$4</f>
        <v>567210000</v>
      </c>
      <c r="H15" s="18">
        <v>75000000</v>
      </c>
      <c r="I15" s="25"/>
      <c r="J15" s="16">
        <f t="shared" si="12"/>
        <v>492210000</v>
      </c>
      <c r="K15" s="19">
        <v>0.1</v>
      </c>
      <c r="L15" s="47">
        <f t="shared" si="10"/>
        <v>49221000</v>
      </c>
      <c r="M15" s="16">
        <f t="shared" si="4"/>
        <v>442989000</v>
      </c>
      <c r="N15" s="16">
        <f t="shared" si="11"/>
        <v>354391200</v>
      </c>
      <c r="O15" s="20">
        <v>0.12</v>
      </c>
      <c r="P15" s="21">
        <v>0.08</v>
      </c>
      <c r="Q15" s="17">
        <f t="shared" si="5"/>
        <v>3.9999999999999994E-2</v>
      </c>
      <c r="R15" s="22">
        <f t="shared" si="6"/>
        <v>0.62459704958006512</v>
      </c>
      <c r="S15" s="16">
        <f t="shared" si="7"/>
        <v>276689622.39642346</v>
      </c>
      <c r="T15" s="16">
        <f t="shared" si="8"/>
        <v>786562039.95242095</v>
      </c>
    </row>
    <row r="16" spans="1:20" s="1" customFormat="1" x14ac:dyDescent="0.25">
      <c r="A16" s="43">
        <f t="shared" si="0"/>
        <v>14</v>
      </c>
      <c r="B16" s="24"/>
      <c r="C16" s="16"/>
      <c r="D16" s="16"/>
      <c r="E16" s="16"/>
      <c r="F16" s="16"/>
      <c r="G16" s="23">
        <f>'Параметры ЭТК "ЗК" Щелкино'!D$4</f>
        <v>567210000</v>
      </c>
      <c r="H16" s="18">
        <v>75000000</v>
      </c>
      <c r="I16" s="25"/>
      <c r="J16" s="16">
        <f t="shared" si="12"/>
        <v>492210000</v>
      </c>
      <c r="K16" s="19">
        <v>0.1</v>
      </c>
      <c r="L16" s="47">
        <f t="shared" si="10"/>
        <v>49221000</v>
      </c>
      <c r="M16" s="16">
        <f t="shared" si="4"/>
        <v>442989000</v>
      </c>
      <c r="N16" s="16">
        <f t="shared" si="11"/>
        <v>354391200</v>
      </c>
      <c r="O16" s="20">
        <v>0.12</v>
      </c>
      <c r="P16" s="21">
        <v>0.08</v>
      </c>
      <c r="Q16" s="17">
        <f t="shared" si="5"/>
        <v>3.9999999999999994E-2</v>
      </c>
      <c r="R16" s="22">
        <f t="shared" si="6"/>
        <v>0.600574086134678</v>
      </c>
      <c r="S16" s="16">
        <f t="shared" si="7"/>
        <v>266047713.84271488</v>
      </c>
      <c r="T16" s="16">
        <f t="shared" si="8"/>
        <v>1052609753.7951359</v>
      </c>
    </row>
    <row r="17" spans="1:20" s="1" customFormat="1" x14ac:dyDescent="0.25">
      <c r="A17" s="43">
        <f t="shared" si="0"/>
        <v>15</v>
      </c>
      <c r="B17" s="24"/>
      <c r="C17" s="16"/>
      <c r="D17" s="16"/>
      <c r="E17" s="16"/>
      <c r="F17" s="16"/>
      <c r="G17" s="23">
        <f>'Параметры ЭТК "ЗК" Щелкино'!D$4</f>
        <v>567210000</v>
      </c>
      <c r="H17" s="18">
        <v>75000000</v>
      </c>
      <c r="I17" s="25"/>
      <c r="J17" s="16">
        <f t="shared" si="12"/>
        <v>492210000</v>
      </c>
      <c r="K17" s="19">
        <v>0.1</v>
      </c>
      <c r="L17" s="47">
        <f t="shared" si="10"/>
        <v>49221000</v>
      </c>
      <c r="M17" s="16">
        <f t="shared" si="4"/>
        <v>442989000</v>
      </c>
      <c r="N17" s="16">
        <f t="shared" si="11"/>
        <v>354391200</v>
      </c>
      <c r="O17" s="20">
        <v>0.12</v>
      </c>
      <c r="P17" s="21">
        <v>0.08</v>
      </c>
      <c r="Q17" s="17">
        <f t="shared" si="5"/>
        <v>3.9999999999999994E-2</v>
      </c>
      <c r="R17" s="22">
        <f t="shared" si="6"/>
        <v>0.57747508282180582</v>
      </c>
      <c r="S17" s="16">
        <f t="shared" si="7"/>
        <v>255815109.46414894</v>
      </c>
      <c r="T17" s="16">
        <f t="shared" si="8"/>
        <v>1308424863.2592847</v>
      </c>
    </row>
    <row r="18" spans="1:20" s="1" customFormat="1" x14ac:dyDescent="0.25">
      <c r="A18" s="43">
        <f t="shared" si="0"/>
        <v>16</v>
      </c>
      <c r="B18" s="24"/>
      <c r="C18" s="16"/>
      <c r="D18" s="16"/>
      <c r="E18" s="16"/>
      <c r="F18" s="16"/>
      <c r="G18" s="23">
        <f>'Параметры ЭТК "ЗК" Щелкино'!D$4</f>
        <v>567210000</v>
      </c>
      <c r="H18" s="18">
        <v>75000000</v>
      </c>
      <c r="I18" s="25"/>
      <c r="J18" s="16">
        <f t="shared" si="12"/>
        <v>492210000</v>
      </c>
      <c r="K18" s="19">
        <v>0.1</v>
      </c>
      <c r="L18" s="47">
        <f t="shared" si="10"/>
        <v>49221000</v>
      </c>
      <c r="M18" s="16">
        <f t="shared" si="4"/>
        <v>442989000</v>
      </c>
      <c r="N18" s="16">
        <f t="shared" si="11"/>
        <v>354391200</v>
      </c>
      <c r="O18" s="20">
        <v>0.12</v>
      </c>
      <c r="P18" s="21">
        <v>0.08</v>
      </c>
      <c r="Q18" s="17">
        <f t="shared" si="5"/>
        <v>3.9999999999999994E-2</v>
      </c>
      <c r="R18" s="22">
        <f t="shared" si="6"/>
        <v>0.55526450271327477</v>
      </c>
      <c r="S18" s="16">
        <f t="shared" si="7"/>
        <v>245976066.79245088</v>
      </c>
      <c r="T18" s="16">
        <f t="shared" si="8"/>
        <v>1554400930.0517356</v>
      </c>
    </row>
    <row r="19" spans="1:20" s="1" customFormat="1" x14ac:dyDescent="0.25">
      <c r="A19" s="43">
        <f t="shared" si="0"/>
        <v>17</v>
      </c>
      <c r="B19" s="24"/>
      <c r="C19" s="16"/>
      <c r="D19" s="16"/>
      <c r="E19" s="16"/>
      <c r="F19" s="16"/>
      <c r="G19" s="23">
        <f>'Параметры ЭТК "ЗК" Щелкино'!D$4</f>
        <v>567210000</v>
      </c>
      <c r="H19" s="18">
        <v>75000000</v>
      </c>
      <c r="I19" s="25"/>
      <c r="J19" s="16">
        <f t="shared" si="12"/>
        <v>492210000</v>
      </c>
      <c r="K19" s="19">
        <v>0.1</v>
      </c>
      <c r="L19" s="47">
        <f t="shared" si="10"/>
        <v>49221000</v>
      </c>
      <c r="M19" s="16">
        <f t="shared" si="4"/>
        <v>442989000</v>
      </c>
      <c r="N19" s="16">
        <f t="shared" si="11"/>
        <v>354391200</v>
      </c>
      <c r="O19" s="20">
        <v>0.12</v>
      </c>
      <c r="P19" s="21">
        <v>0.08</v>
      </c>
      <c r="Q19" s="17">
        <f t="shared" si="5"/>
        <v>3.9999999999999994E-2</v>
      </c>
      <c r="R19" s="22">
        <f t="shared" si="6"/>
        <v>0.53390817568584104</v>
      </c>
      <c r="S19" s="16">
        <f t="shared" si="7"/>
        <v>236515448.83889502</v>
      </c>
      <c r="T19" s="16">
        <f t="shared" si="8"/>
        <v>1790916378.8906307</v>
      </c>
    </row>
    <row r="20" spans="1:20" s="1" customFormat="1" x14ac:dyDescent="0.25">
      <c r="A20" s="43">
        <f t="shared" si="0"/>
        <v>18</v>
      </c>
      <c r="B20" s="24"/>
      <c r="C20" s="16"/>
      <c r="D20" s="16"/>
      <c r="E20" s="16"/>
      <c r="F20" s="16"/>
      <c r="G20" s="23">
        <f>'Параметры ЭТК "ЗК" Щелкино'!D$4</f>
        <v>567210000</v>
      </c>
      <c r="H20" s="18">
        <v>75000000</v>
      </c>
      <c r="I20" s="25"/>
      <c r="J20" s="16">
        <f t="shared" si="12"/>
        <v>492210000</v>
      </c>
      <c r="K20" s="19">
        <v>0.1</v>
      </c>
      <c r="L20" s="47">
        <f t="shared" si="10"/>
        <v>49221000</v>
      </c>
      <c r="M20" s="16">
        <f t="shared" si="4"/>
        <v>442989000</v>
      </c>
      <c r="N20" s="16">
        <f t="shared" si="11"/>
        <v>354391200</v>
      </c>
      <c r="O20" s="20">
        <v>0.12</v>
      </c>
      <c r="P20" s="21">
        <v>0.08</v>
      </c>
      <c r="Q20" s="17">
        <f t="shared" si="5"/>
        <v>3.9999999999999994E-2</v>
      </c>
      <c r="R20" s="22">
        <f t="shared" si="6"/>
        <v>0.51337324585177024</v>
      </c>
      <c r="S20" s="16">
        <f t="shared" si="7"/>
        <v>227418700.80662984</v>
      </c>
      <c r="T20" s="16">
        <f t="shared" si="8"/>
        <v>2018335079.6972606</v>
      </c>
    </row>
    <row r="21" spans="1:20" s="1" customFormat="1" x14ac:dyDescent="0.25">
      <c r="A21" s="43">
        <f t="shared" si="0"/>
        <v>19</v>
      </c>
      <c r="B21" s="45"/>
      <c r="C21" s="16"/>
      <c r="D21" s="16"/>
      <c r="E21" s="16"/>
      <c r="F21" s="16"/>
      <c r="G21" s="23">
        <f>'Параметры ЭТК "ЗК" Щелкино'!D$4</f>
        <v>567210000</v>
      </c>
      <c r="H21" s="18">
        <v>75000000</v>
      </c>
      <c r="I21" s="25"/>
      <c r="J21" s="16">
        <f t="shared" si="12"/>
        <v>492210000</v>
      </c>
      <c r="K21" s="19">
        <v>0.1</v>
      </c>
      <c r="L21" s="47">
        <f t="shared" si="10"/>
        <v>49221000</v>
      </c>
      <c r="M21" s="16">
        <f t="shared" si="4"/>
        <v>442989000</v>
      </c>
      <c r="N21" s="16">
        <f t="shared" si="11"/>
        <v>354391200</v>
      </c>
      <c r="O21" s="20">
        <v>0.12</v>
      </c>
      <c r="P21" s="21">
        <v>0.08</v>
      </c>
      <c r="Q21" s="17">
        <f t="shared" si="5"/>
        <v>3.9999999999999994E-2</v>
      </c>
      <c r="R21" s="22">
        <f t="shared" si="6"/>
        <v>0.49362812101131748</v>
      </c>
      <c r="S21" s="16">
        <f t="shared" si="7"/>
        <v>218671827.69868252</v>
      </c>
      <c r="T21" s="16">
        <f t="shared" si="8"/>
        <v>2237006907.3959432</v>
      </c>
    </row>
    <row r="22" spans="1:20" s="1" customFormat="1" x14ac:dyDescent="0.25">
      <c r="A22" s="43">
        <f t="shared" si="0"/>
        <v>20</v>
      </c>
      <c r="B22" s="24"/>
      <c r="C22" s="16"/>
      <c r="D22" s="16"/>
      <c r="E22" s="16"/>
      <c r="F22" s="16"/>
      <c r="G22" s="23">
        <f>'Параметры ЭТК "ЗК" Щелкино'!D$4</f>
        <v>567210000</v>
      </c>
      <c r="H22" s="18">
        <v>75000000</v>
      </c>
      <c r="I22" s="25"/>
      <c r="J22" s="16">
        <f t="shared" si="12"/>
        <v>492210000</v>
      </c>
      <c r="K22" s="19">
        <v>0.1</v>
      </c>
      <c r="L22" s="47">
        <f t="shared" si="10"/>
        <v>49221000</v>
      </c>
      <c r="M22" s="16">
        <f t="shared" si="4"/>
        <v>442989000</v>
      </c>
      <c r="N22" s="16">
        <f t="shared" si="11"/>
        <v>354391200</v>
      </c>
      <c r="O22" s="20">
        <v>0.12</v>
      </c>
      <c r="P22" s="21">
        <v>0.08</v>
      </c>
      <c r="Q22" s="17">
        <f t="shared" si="5"/>
        <v>3.9999999999999994E-2</v>
      </c>
      <c r="R22" s="22">
        <f t="shared" si="6"/>
        <v>0.47464242404934376</v>
      </c>
      <c r="S22" s="16">
        <f t="shared" si="7"/>
        <v>210261372.78719473</v>
      </c>
      <c r="T22" s="16">
        <f t="shared" si="8"/>
        <v>2447268280.1831379</v>
      </c>
    </row>
    <row r="23" spans="1:20" s="1" customFormat="1" x14ac:dyDescent="0.25">
      <c r="A23" s="43">
        <f t="shared" si="0"/>
        <v>21</v>
      </c>
      <c r="B23" s="24"/>
      <c r="C23" s="16"/>
      <c r="D23" s="16"/>
      <c r="E23" s="16"/>
      <c r="F23" s="16"/>
      <c r="G23" s="23">
        <f>'Параметры ЭТК "ЗК" Щелкино'!D$4</f>
        <v>567210000</v>
      </c>
      <c r="H23" s="18">
        <v>75000000</v>
      </c>
      <c r="I23" s="25"/>
      <c r="J23" s="16">
        <f t="shared" si="12"/>
        <v>492210000</v>
      </c>
      <c r="K23" s="19">
        <v>0.1</v>
      </c>
      <c r="L23" s="47">
        <f t="shared" si="10"/>
        <v>49221000</v>
      </c>
      <c r="M23" s="16">
        <f t="shared" si="4"/>
        <v>442989000</v>
      </c>
      <c r="N23" s="16">
        <f t="shared" si="11"/>
        <v>354391200</v>
      </c>
      <c r="O23" s="20">
        <v>0.12</v>
      </c>
      <c r="P23" s="21">
        <v>0.08</v>
      </c>
      <c r="Q23" s="17">
        <f t="shared" si="5"/>
        <v>3.9999999999999994E-2</v>
      </c>
      <c r="R23" s="22">
        <f t="shared" si="6"/>
        <v>0.45638694620129205</v>
      </c>
      <c r="S23" s="16">
        <f t="shared" si="7"/>
        <v>202174396.91076416</v>
      </c>
      <c r="T23" s="16">
        <f t="shared" si="8"/>
        <v>2649442677.0939021</v>
      </c>
    </row>
    <row r="24" spans="1:20" s="1" customFormat="1" x14ac:dyDescent="0.25">
      <c r="A24" s="43">
        <f t="shared" si="0"/>
        <v>22</v>
      </c>
      <c r="B24" s="24"/>
      <c r="C24" s="16"/>
      <c r="D24" s="16"/>
      <c r="E24" s="16"/>
      <c r="F24" s="16"/>
      <c r="G24" s="23">
        <f>'Параметры ЭТК "ЗК" Щелкино'!D$4</f>
        <v>567210000</v>
      </c>
      <c r="H24" s="18">
        <v>75000000</v>
      </c>
      <c r="I24" s="25"/>
      <c r="J24" s="16">
        <f t="shared" si="12"/>
        <v>492210000</v>
      </c>
      <c r="K24" s="19">
        <v>0.1</v>
      </c>
      <c r="L24" s="47">
        <f t="shared" si="10"/>
        <v>49221000</v>
      </c>
      <c r="M24" s="16">
        <f t="shared" si="4"/>
        <v>442989000</v>
      </c>
      <c r="N24" s="16">
        <f t="shared" si="11"/>
        <v>354391200</v>
      </c>
      <c r="O24" s="20">
        <v>0.12</v>
      </c>
      <c r="P24" s="21">
        <v>0.08</v>
      </c>
      <c r="Q24" s="17">
        <f t="shared" si="5"/>
        <v>3.9999999999999994E-2</v>
      </c>
      <c r="R24" s="22">
        <f t="shared" si="6"/>
        <v>0.43883360211662686</v>
      </c>
      <c r="S24" s="16">
        <f t="shared" si="7"/>
        <v>194398458.56804243</v>
      </c>
      <c r="T24" s="16">
        <f t="shared" si="8"/>
        <v>2843841135.6619444</v>
      </c>
    </row>
    <row r="25" spans="1:20" s="1" customFormat="1" ht="15.75" x14ac:dyDescent="0.25">
      <c r="A25" s="43">
        <v>23</v>
      </c>
      <c r="B25" s="45">
        <f>SUM(B3:B6)</f>
        <v>200000000</v>
      </c>
      <c r="C25" s="26"/>
      <c r="D25" s="45">
        <f>SUM(D3:D6)</f>
        <v>2000000000</v>
      </c>
      <c r="E25" s="45">
        <f>SUM(E3:E6)</f>
        <v>1800000000</v>
      </c>
      <c r="F25" s="45">
        <f>SUM(F3:F6)</f>
        <v>4000000000</v>
      </c>
      <c r="G25" s="45">
        <f>SUM(G3:G24)</f>
        <v>10229490000</v>
      </c>
      <c r="H25" s="49">
        <f>SUM(H3:H24)</f>
        <v>1425000000</v>
      </c>
      <c r="I25" s="45">
        <f>SUM(I4:I8)</f>
        <v>210000000</v>
      </c>
      <c r="J25" s="16"/>
      <c r="K25" s="3"/>
      <c r="L25" s="44"/>
      <c r="M25" s="28"/>
      <c r="N25" s="48">
        <f>SUM(N6:N24)</f>
        <v>6434521600</v>
      </c>
      <c r="O25" s="29"/>
      <c r="P25" s="29"/>
      <c r="Q25" s="3"/>
      <c r="R25" s="22"/>
      <c r="S25" s="46"/>
      <c r="T25" s="30"/>
    </row>
    <row r="26" spans="1:20" s="1" customFormat="1" ht="15.75" x14ac:dyDescent="0.25">
      <c r="A26" s="43"/>
      <c r="B26" s="24"/>
      <c r="C26" s="3"/>
      <c r="D26" s="16"/>
      <c r="E26" s="16"/>
      <c r="F26" s="16"/>
      <c r="G26" s="23"/>
      <c r="H26" s="3"/>
      <c r="I26" s="27"/>
      <c r="K26" s="3"/>
      <c r="L26" s="44"/>
      <c r="O26" s="29"/>
      <c r="P26" s="29"/>
      <c r="Q26" s="3"/>
      <c r="R26" s="22"/>
      <c r="S26" s="30"/>
      <c r="T26" s="3"/>
    </row>
    <row r="27" spans="1:20" s="1" customFormat="1" x14ac:dyDescent="0.25">
      <c r="A27" s="43"/>
      <c r="B27" s="24"/>
      <c r="C27" s="3"/>
      <c r="D27" s="16"/>
      <c r="E27" s="16"/>
      <c r="F27" s="3"/>
      <c r="G27" s="38"/>
      <c r="H27" s="3"/>
      <c r="I27" s="3"/>
      <c r="J27" s="31" t="s">
        <v>31</v>
      </c>
      <c r="K27" s="31"/>
      <c r="L27" s="31" t="s">
        <v>32</v>
      </c>
      <c r="M27" s="31" t="s">
        <v>31</v>
      </c>
      <c r="N27" s="31"/>
      <c r="O27" s="29"/>
      <c r="P27" s="29"/>
      <c r="Q27" s="3"/>
      <c r="R27" s="22"/>
      <c r="S27" s="32"/>
      <c r="T27" s="31" t="s">
        <v>33</v>
      </c>
    </row>
    <row r="28" spans="1:20" s="1" customFormat="1" ht="15.75" x14ac:dyDescent="0.25">
      <c r="A28" s="43"/>
      <c r="B28" s="24"/>
      <c r="C28" s="3"/>
      <c r="D28" s="16"/>
      <c r="E28" s="16"/>
      <c r="F28" s="3"/>
      <c r="G28" s="38"/>
      <c r="H28" s="3"/>
      <c r="I28" s="3"/>
      <c r="J28" s="33">
        <f>IRR(J3:J24)</f>
        <v>0.1589747600094702</v>
      </c>
      <c r="K28" s="34"/>
      <c r="L28" s="34">
        <f>SUM(L6:L24)</f>
        <v>883733000</v>
      </c>
      <c r="M28" s="33">
        <f>IRR(M3:M23)</f>
        <v>0.14129070088009565</v>
      </c>
      <c r="N28" s="33"/>
      <c r="O28" s="29"/>
      <c r="P28" s="29"/>
      <c r="Q28" s="3"/>
      <c r="R28" s="35"/>
      <c r="S28" s="36"/>
      <c r="T28" s="34">
        <f>SUM(T3:T24)</f>
        <v>8453455313.5583792</v>
      </c>
    </row>
    <row r="29" spans="1:20" s="1" customFormat="1" x14ac:dyDescent="0.25">
      <c r="A29" s="43"/>
      <c r="B29" s="24"/>
      <c r="C29" s="3"/>
      <c r="D29" s="16"/>
      <c r="E29" s="16"/>
      <c r="F29" s="3"/>
      <c r="G29" s="16"/>
      <c r="H29" s="3"/>
      <c r="I29" s="3"/>
      <c r="K29" s="3"/>
      <c r="L29" s="31" t="s">
        <v>35</v>
      </c>
      <c r="O29" s="29"/>
      <c r="P29" s="29"/>
      <c r="Q29" s="3"/>
      <c r="R29" s="22"/>
      <c r="S29" s="36"/>
      <c r="T29" s="3"/>
    </row>
    <row r="30" spans="1:20" s="1" customFormat="1" x14ac:dyDescent="0.25">
      <c r="A30" s="43"/>
      <c r="B30" s="24"/>
      <c r="C30" s="3"/>
      <c r="D30" s="16"/>
      <c r="E30" s="16"/>
      <c r="F30" s="3"/>
      <c r="G30" s="38"/>
      <c r="H30" s="54"/>
      <c r="I30" s="3"/>
      <c r="K30" s="3"/>
      <c r="L30" s="34">
        <f>SUM(L6:L16)</f>
        <v>489965000</v>
      </c>
      <c r="M30" s="46"/>
      <c r="N30" s="46"/>
      <c r="O30" s="29"/>
      <c r="P30" s="29"/>
      <c r="Q30" s="3"/>
      <c r="R30" s="22"/>
      <c r="S30" s="37"/>
      <c r="T30" s="31" t="s">
        <v>34</v>
      </c>
    </row>
    <row r="31" spans="1:20" s="1" customFormat="1" x14ac:dyDescent="0.25">
      <c r="A31" s="43"/>
      <c r="B31" s="24"/>
      <c r="C31" s="3"/>
      <c r="D31" s="16"/>
      <c r="E31" s="16"/>
      <c r="F31" s="3"/>
      <c r="G31" s="38"/>
      <c r="H31" s="3"/>
      <c r="I31" s="3"/>
      <c r="K31" s="3"/>
      <c r="L31" s="44"/>
      <c r="O31" s="29"/>
      <c r="P31" s="29"/>
      <c r="Q31" s="3"/>
      <c r="R31" s="22"/>
      <c r="T31" s="34">
        <f>SUM(T3:T14)</f>
        <v>-10235352732.423018</v>
      </c>
    </row>
    <row r="32" spans="1:20" s="1" customFormat="1" x14ac:dyDescent="0.25">
      <c r="A32" s="43"/>
      <c r="B32" s="24"/>
      <c r="C32" s="3"/>
      <c r="D32" s="16"/>
      <c r="E32" s="16"/>
      <c r="F32" s="26"/>
      <c r="G32" s="23"/>
      <c r="H32" s="3"/>
      <c r="I32" s="3"/>
      <c r="J32" s="31"/>
      <c r="K32" s="3"/>
      <c r="L32" s="44"/>
      <c r="O32" s="29"/>
      <c r="P32" s="29"/>
      <c r="Q32" s="3"/>
      <c r="R32" s="22"/>
      <c r="T32" s="3"/>
    </row>
    <row r="33" spans="1:20" s="1" customFormat="1" ht="15.75" x14ac:dyDescent="0.25">
      <c r="A33" s="43"/>
      <c r="B33" s="24"/>
      <c r="C33" s="43"/>
      <c r="D33" s="16"/>
      <c r="E33" s="16"/>
      <c r="F33" s="26"/>
      <c r="G33" s="23"/>
      <c r="H33" s="43"/>
      <c r="I33" s="43"/>
      <c r="J33" s="33"/>
      <c r="K33" s="43"/>
      <c r="L33" s="44"/>
      <c r="O33" s="29"/>
      <c r="P33" s="29"/>
      <c r="Q33" s="43"/>
      <c r="R33" s="22"/>
      <c r="T33" s="43"/>
    </row>
    <row r="34" spans="1:20" s="1" customFormat="1" ht="15.75" x14ac:dyDescent="0.25">
      <c r="A34" s="43"/>
      <c r="B34" s="3"/>
      <c r="C34" s="3"/>
      <c r="D34" s="16"/>
      <c r="E34" s="16"/>
      <c r="F34" s="3"/>
      <c r="G34" s="23"/>
      <c r="H34" s="3"/>
      <c r="I34" s="3"/>
      <c r="J34" s="33"/>
      <c r="K34" s="3"/>
      <c r="L34" s="44"/>
      <c r="O34" s="29"/>
      <c r="P34" s="29"/>
      <c r="Q34" s="3"/>
      <c r="R34" s="22"/>
      <c r="T34" s="3"/>
    </row>
    <row r="35" spans="1:20" s="1" customFormat="1" x14ac:dyDescent="0.25">
      <c r="A35" s="43"/>
      <c r="B35" s="3"/>
      <c r="C35" s="3"/>
      <c r="D35" s="3"/>
      <c r="E35" s="3"/>
      <c r="F35" s="3"/>
      <c r="G35" s="23"/>
      <c r="H35" s="3"/>
      <c r="I35" s="3"/>
      <c r="K35" s="3"/>
      <c r="L35" s="44"/>
      <c r="O35" s="29"/>
      <c r="P35" s="29"/>
      <c r="Q35" s="3"/>
      <c r="R35" s="22"/>
      <c r="T35" s="3"/>
    </row>
    <row r="36" spans="1:20" s="1" customFormat="1" x14ac:dyDescent="0.25">
      <c r="A36" s="43"/>
      <c r="B36" s="3"/>
      <c r="C36" s="3"/>
      <c r="D36" s="3"/>
      <c r="E36" s="3"/>
      <c r="F36" s="3"/>
      <c r="G36" s="23"/>
      <c r="H36" s="3"/>
      <c r="I36" s="3"/>
      <c r="K36" s="3"/>
      <c r="L36" s="44"/>
      <c r="O36" s="29"/>
      <c r="P36" s="29"/>
      <c r="Q36" s="3"/>
      <c r="R36" s="22"/>
      <c r="T36" s="3"/>
    </row>
    <row r="37" spans="1:20" s="1" customFormat="1" x14ac:dyDescent="0.25">
      <c r="A37" s="43"/>
      <c r="B37" s="3"/>
      <c r="C37" s="3"/>
      <c r="D37" s="3"/>
      <c r="E37" s="3"/>
      <c r="F37" s="3"/>
      <c r="G37" s="23"/>
      <c r="H37" s="3"/>
      <c r="I37" s="3"/>
      <c r="K37" s="3"/>
      <c r="L37" s="44"/>
      <c r="O37" s="29"/>
      <c r="P37" s="29"/>
      <c r="Q37" s="3"/>
      <c r="R37" s="22"/>
      <c r="T37" s="3"/>
    </row>
    <row r="38" spans="1:20" s="1" customFormat="1" x14ac:dyDescent="0.25">
      <c r="A38" s="43"/>
      <c r="B38" s="3"/>
      <c r="C38" s="3"/>
      <c r="D38" s="3"/>
      <c r="E38" s="3"/>
      <c r="F38" s="3"/>
      <c r="G38" s="23"/>
      <c r="H38" s="3"/>
      <c r="I38" s="3"/>
      <c r="K38" s="3"/>
      <c r="L38" s="44"/>
      <c r="O38" s="29"/>
      <c r="P38" s="29"/>
      <c r="Q38" s="3"/>
      <c r="R38" s="22"/>
      <c r="T38" s="3"/>
    </row>
    <row r="39" spans="1:20" s="1" customFormat="1" x14ac:dyDescent="0.25">
      <c r="A39" s="43"/>
      <c r="B39" s="3"/>
      <c r="C39" s="3"/>
      <c r="D39" s="3"/>
      <c r="E39" s="3"/>
      <c r="F39" s="3"/>
      <c r="G39" s="38"/>
      <c r="H39" s="3"/>
      <c r="I39" s="3"/>
      <c r="K39" s="3"/>
      <c r="L39" s="44"/>
      <c r="O39" s="29"/>
      <c r="P39" s="29"/>
      <c r="Q39" s="3"/>
      <c r="R39" s="22"/>
      <c r="T39" s="3"/>
    </row>
    <row r="40" spans="1:20" s="1" customFormat="1" x14ac:dyDescent="0.25">
      <c r="A40" s="43"/>
      <c r="B40" s="3"/>
      <c r="C40" s="3"/>
      <c r="D40" s="3"/>
      <c r="E40" s="3"/>
      <c r="F40" s="3"/>
      <c r="G40" s="38"/>
      <c r="H40" s="3"/>
      <c r="I40" s="3"/>
      <c r="K40" s="3"/>
      <c r="L40" s="44"/>
      <c r="O40" s="29"/>
      <c r="P40" s="29"/>
      <c r="Q40" s="3"/>
      <c r="R40" s="22"/>
      <c r="T40" s="3"/>
    </row>
    <row r="41" spans="1:20" s="1" customFormat="1" x14ac:dyDescent="0.25">
      <c r="A41" s="43"/>
      <c r="B41" s="3"/>
      <c r="C41" s="3"/>
      <c r="D41" s="3"/>
      <c r="E41" s="3"/>
      <c r="F41" s="3"/>
      <c r="G41" s="38"/>
      <c r="H41" s="3"/>
      <c r="I41" s="3"/>
      <c r="K41" s="3"/>
      <c r="L41" s="44"/>
      <c r="O41" s="29"/>
      <c r="P41" s="29"/>
      <c r="Q41" s="3"/>
      <c r="R41" s="22"/>
      <c r="T41" s="3"/>
    </row>
    <row r="42" spans="1:20" s="1" customFormat="1" x14ac:dyDescent="0.25">
      <c r="A42" s="43"/>
      <c r="B42" s="3"/>
      <c r="C42" s="3"/>
      <c r="D42" s="3"/>
      <c r="E42" s="3"/>
      <c r="F42" s="3"/>
      <c r="G42" s="38"/>
      <c r="H42" s="3"/>
      <c r="I42" s="3"/>
      <c r="K42" s="3"/>
      <c r="L42" s="44"/>
      <c r="O42" s="29"/>
      <c r="P42" s="29"/>
      <c r="Q42" s="3"/>
      <c r="R42" s="22"/>
      <c r="T42" s="3"/>
    </row>
    <row r="43" spans="1:20" s="1" customFormat="1" x14ac:dyDescent="0.25">
      <c r="A43" s="3"/>
      <c r="B43" s="3"/>
      <c r="C43" s="3"/>
      <c r="D43" s="3"/>
      <c r="E43" s="3"/>
      <c r="F43" s="3"/>
      <c r="G43" s="38"/>
      <c r="H43" s="3"/>
      <c r="I43" s="3"/>
      <c r="K43" s="3"/>
      <c r="L43" s="44"/>
      <c r="O43" s="29"/>
      <c r="P43" s="29"/>
      <c r="Q43" s="3"/>
      <c r="R43" s="22"/>
      <c r="T43" s="3"/>
    </row>
    <row r="44" spans="1:20" s="1" customFormat="1" x14ac:dyDescent="0.25">
      <c r="A44" s="3"/>
      <c r="B44" s="3"/>
      <c r="C44" s="3"/>
      <c r="D44" s="3"/>
      <c r="E44" s="3"/>
      <c r="F44" s="3"/>
      <c r="G44" s="38"/>
      <c r="H44" s="3"/>
      <c r="I44" s="3"/>
      <c r="K44" s="3"/>
      <c r="L44" s="44"/>
      <c r="O44" s="29"/>
      <c r="P44" s="29"/>
      <c r="Q44" s="3"/>
      <c r="R44" s="22"/>
      <c r="T44" s="3"/>
    </row>
    <row r="45" spans="1:20" s="1" customFormat="1" x14ac:dyDescent="0.25">
      <c r="A45" s="3"/>
      <c r="B45" s="3"/>
      <c r="C45" s="3"/>
      <c r="D45" s="3"/>
      <c r="E45" s="3"/>
      <c r="F45" s="3"/>
      <c r="G45" s="38"/>
      <c r="H45" s="3"/>
      <c r="I45" s="3"/>
      <c r="K45" s="3"/>
      <c r="L45" s="44"/>
      <c r="O45" s="29"/>
      <c r="P45" s="29"/>
      <c r="Q45" s="3"/>
      <c r="R45" s="22"/>
      <c r="T45" s="3"/>
    </row>
    <row r="46" spans="1:20" s="1" customFormat="1" x14ac:dyDescent="0.25">
      <c r="A46" s="3"/>
      <c r="B46" s="3"/>
      <c r="C46" s="3"/>
      <c r="D46" s="3"/>
      <c r="E46" s="3"/>
      <c r="F46" s="3"/>
      <c r="G46" s="38"/>
      <c r="H46" s="3"/>
      <c r="I46" s="3"/>
      <c r="K46" s="3"/>
      <c r="L46" s="44"/>
      <c r="O46" s="29"/>
      <c r="P46" s="29"/>
      <c r="Q46" s="3"/>
      <c r="R46" s="22"/>
      <c r="T46" s="3"/>
    </row>
    <row r="47" spans="1:20" s="1" customFormat="1" x14ac:dyDescent="0.25">
      <c r="A47" s="3"/>
      <c r="B47" s="3"/>
      <c r="C47" s="3"/>
      <c r="D47" s="3"/>
      <c r="E47" s="3"/>
      <c r="F47" s="3"/>
      <c r="G47" s="38"/>
      <c r="H47" s="3"/>
      <c r="I47" s="3"/>
      <c r="K47" s="3"/>
      <c r="L47" s="44"/>
      <c r="O47" s="29"/>
      <c r="P47" s="29"/>
      <c r="Q47" s="3"/>
      <c r="R47" s="22"/>
      <c r="T47" s="3"/>
    </row>
    <row r="48" spans="1:20" s="1" customFormat="1" x14ac:dyDescent="0.25">
      <c r="A48" s="3"/>
      <c r="B48" s="3"/>
      <c r="C48" s="3"/>
      <c r="D48" s="3"/>
      <c r="E48" s="3"/>
      <c r="F48" s="3"/>
      <c r="G48" s="38"/>
      <c r="H48" s="3"/>
      <c r="I48" s="3"/>
      <c r="K48" s="3"/>
      <c r="L48" s="44"/>
      <c r="O48" s="29"/>
      <c r="P48" s="29"/>
      <c r="Q48" s="3"/>
      <c r="R48" s="22"/>
      <c r="T48" s="3"/>
    </row>
    <row r="49" spans="1:20" s="1" customFormat="1" x14ac:dyDescent="0.25">
      <c r="A49" s="3"/>
      <c r="B49" s="3"/>
      <c r="C49" s="3"/>
      <c r="D49" s="3"/>
      <c r="E49" s="3"/>
      <c r="F49" s="3"/>
      <c r="G49" s="38"/>
      <c r="H49" s="3"/>
      <c r="I49" s="3"/>
      <c r="K49" s="3"/>
      <c r="L49" s="44"/>
      <c r="O49" s="29"/>
      <c r="P49" s="29"/>
      <c r="Q49" s="3"/>
      <c r="R49" s="22"/>
      <c r="T49" s="3"/>
    </row>
    <row r="50" spans="1:20" s="1" customFormat="1" x14ac:dyDescent="0.25">
      <c r="A50" s="3"/>
      <c r="B50" s="3"/>
      <c r="C50" s="3"/>
      <c r="D50" s="3"/>
      <c r="E50" s="3"/>
      <c r="F50" s="3"/>
      <c r="G50" s="38"/>
      <c r="H50" s="3"/>
      <c r="I50" s="3"/>
      <c r="K50" s="3"/>
      <c r="L50" s="44"/>
      <c r="O50" s="29"/>
      <c r="P50" s="29"/>
      <c r="Q50" s="3"/>
      <c r="R50" s="22"/>
      <c r="T50" s="3"/>
    </row>
    <row r="51" spans="1:20" s="1" customFormat="1" x14ac:dyDescent="0.25">
      <c r="A51" s="3"/>
      <c r="B51" s="3"/>
      <c r="C51" s="3"/>
      <c r="D51" s="3"/>
      <c r="E51" s="3"/>
      <c r="F51" s="3"/>
      <c r="G51" s="38"/>
      <c r="H51" s="3"/>
      <c r="I51" s="3"/>
      <c r="K51" s="3"/>
      <c r="L51" s="44"/>
      <c r="O51" s="29"/>
      <c r="P51" s="29"/>
      <c r="Q51" s="3"/>
      <c r="R51" s="22"/>
      <c r="T51" s="3"/>
    </row>
    <row r="52" spans="1:20" s="1" customFormat="1" x14ac:dyDescent="0.25">
      <c r="A52" s="3"/>
      <c r="B52" s="3"/>
      <c r="C52" s="3"/>
      <c r="D52" s="3"/>
      <c r="E52" s="3"/>
      <c r="F52" s="3"/>
      <c r="G52" s="38"/>
      <c r="H52" s="3"/>
      <c r="I52" s="3"/>
      <c r="K52" s="3"/>
      <c r="L52" s="44"/>
      <c r="O52" s="29"/>
      <c r="P52" s="29"/>
      <c r="Q52" s="3"/>
      <c r="R52" s="22"/>
      <c r="T52" s="3"/>
    </row>
    <row r="53" spans="1:20" x14ac:dyDescent="0.25">
      <c r="G53" s="3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71A6-5518-43B7-8C20-221AA6813CE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Хар-ки  ЭТК "ЗК" Щелкино  </vt:lpstr>
      <vt:lpstr>Параметры ЭТК "ЗК" Щелкино</vt:lpstr>
      <vt:lpstr>Финмодель ЭТК "ЗК" Щелкино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Ильюша</dc:creator>
  <cp:lastModifiedBy>Анатолий Ильюша</cp:lastModifiedBy>
  <dcterms:created xsi:type="dcterms:W3CDTF">2018-04-21T09:44:44Z</dcterms:created>
  <dcterms:modified xsi:type="dcterms:W3CDTF">2020-07-09T13:10:33Z</dcterms:modified>
</cp:coreProperties>
</file>